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autoCompressPictures="0" defaultThemeVersion="124226"/>
  <mc:AlternateContent xmlns:mc="http://schemas.openxmlformats.org/markup-compatibility/2006">
    <mc:Choice Requires="x15">
      <x15ac:absPath xmlns:x15ac="http://schemas.microsoft.com/office/spreadsheetml/2010/11/ac" url="d:\Usuarios\chenry\Documents\Datos Abiertos\Archivos nuevos\"/>
    </mc:Choice>
  </mc:AlternateContent>
  <bookViews>
    <workbookView xWindow="0" yWindow="0" windowWidth="28800" windowHeight="12210"/>
  </bookViews>
  <sheets>
    <sheet name="MATRIZ SEGU. METAS PROGRAMAS" sheetId="9" r:id="rId1"/>
    <sheet name="MATRIZ SEG. METAS SECTORIALES" sheetId="11" state="hidden" r:id="rId2"/>
    <sheet name="clasif categ" sheetId="12" state="hidden" r:id="rId3"/>
  </sheets>
  <definedNames>
    <definedName name="_xlnm._FilterDatabase" localSheetId="0" hidden="1">'MATRIZ SEGU. METAS PROGRAMAS'!$A$9:$Q$37</definedName>
    <definedName name="_xlnm.Print_Area" localSheetId="0">'MATRIZ SEGU. METAS PROGRAMAS'!$A$2:$P$38</definedName>
    <definedName name="_xlnm.Print_Titles" localSheetId="0">'MATRIZ SEGU. METAS PROGRAMAS'!$1:$3</definedName>
  </definedNames>
  <calcPr calcId="171027"/>
</workbook>
</file>

<file path=xl/calcChain.xml><?xml version="1.0" encoding="utf-8"?>
<calcChain xmlns="http://schemas.openxmlformats.org/spreadsheetml/2006/main">
  <c r="H14" i="9" l="1"/>
  <c r="H10" i="9"/>
  <c r="I13" i="11" l="1"/>
  <c r="K18" i="9" l="1"/>
  <c r="N31" i="9"/>
  <c r="M10" i="9"/>
  <c r="M34" i="9"/>
  <c r="N34" i="9" s="1"/>
  <c r="M31" i="9"/>
  <c r="N27" i="9"/>
  <c r="M27" i="9"/>
  <c r="N22" i="9"/>
  <c r="M22" i="9"/>
  <c r="N18" i="9"/>
  <c r="N14" i="9"/>
  <c r="N10" i="9"/>
  <c r="M25" i="9" l="1"/>
  <c r="M18" i="9"/>
  <c r="M14" i="9"/>
  <c r="G22" i="9"/>
  <c r="L14" i="9"/>
  <c r="L10" i="9"/>
  <c r="L18" i="9"/>
  <c r="L22" i="9"/>
  <c r="L27" i="9"/>
  <c r="L31" i="9"/>
  <c r="L34" i="9"/>
  <c r="G14" i="9"/>
  <c r="G34" i="9" l="1"/>
  <c r="G31" i="9"/>
  <c r="G27" i="9"/>
  <c r="G18" i="9"/>
  <c r="G10" i="9"/>
  <c r="K13" i="11" l="1"/>
  <c r="K12" i="11"/>
  <c r="K11" i="11"/>
  <c r="H12" i="11"/>
  <c r="H11" i="11"/>
  <c r="L13" i="11" l="1"/>
  <c r="L12" i="11"/>
  <c r="L11" i="11"/>
  <c r="M36" i="9" l="1"/>
  <c r="N23" i="9" l="1"/>
  <c r="N11" i="9"/>
  <c r="M23" i="9"/>
  <c r="N19" i="9"/>
  <c r="N15" i="9"/>
  <c r="J23" i="9"/>
  <c r="M19" i="9"/>
  <c r="I15" i="9"/>
  <c r="M15" i="9" s="1"/>
  <c r="M11" i="9"/>
  <c r="N13" i="9"/>
  <c r="J15" i="9" l="1"/>
  <c r="N36" i="9" l="1"/>
  <c r="J36" i="9"/>
  <c r="O34" i="9" l="1"/>
  <c r="K34" i="9"/>
  <c r="O31" i="9"/>
  <c r="K31" i="9"/>
  <c r="J32" i="9"/>
  <c r="J31" i="9" s="1"/>
  <c r="I31" i="9"/>
  <c r="O27" i="9"/>
  <c r="K27" i="9"/>
  <c r="O22" i="9"/>
  <c r="K22" i="9"/>
  <c r="O18" i="9"/>
  <c r="O14" i="9"/>
  <c r="K14" i="9"/>
  <c r="K11" i="9" s="1"/>
  <c r="O10" i="9"/>
  <c r="K10" i="9"/>
  <c r="N21" i="9" l="1"/>
  <c r="M21" i="9"/>
  <c r="I21" i="9"/>
  <c r="J21" i="9" l="1"/>
  <c r="J18" i="9" s="1"/>
  <c r="I18" i="9"/>
  <c r="J34" i="9"/>
  <c r="I34" i="9"/>
  <c r="M32" i="9"/>
  <c r="N32" i="9"/>
  <c r="N30" i="9"/>
  <c r="M30" i="9"/>
  <c r="I30" i="9"/>
  <c r="N25" i="9"/>
  <c r="I25" i="9"/>
  <c r="I22" i="9" s="1"/>
  <c r="N17" i="9"/>
  <c r="M17" i="9"/>
  <c r="I17" i="9"/>
  <c r="J25" i="9" l="1"/>
  <c r="J22" i="9" s="1"/>
  <c r="J17" i="9"/>
  <c r="J14" i="9" s="1"/>
  <c r="I14" i="9"/>
  <c r="I27" i="9"/>
  <c r="J30" i="9"/>
  <c r="J27" i="9" s="1"/>
  <c r="M13" i="9"/>
  <c r="I13" i="9"/>
  <c r="I10" i="9" s="1"/>
  <c r="J13" i="9" l="1"/>
  <c r="J10" i="9" s="1"/>
  <c r="M35" i="9"/>
  <c r="N35" i="9" s="1"/>
  <c r="I12" i="11" l="1"/>
  <c r="I11" i="11"/>
  <c r="H34" i="9"/>
  <c r="H22" i="9"/>
  <c r="H18" i="9"/>
  <c r="H27" i="9"/>
  <c r="P22" i="9"/>
  <c r="P18" i="9"/>
  <c r="P14" i="9"/>
</calcChain>
</file>

<file path=xl/sharedStrings.xml><?xml version="1.0" encoding="utf-8"?>
<sst xmlns="http://schemas.openxmlformats.org/spreadsheetml/2006/main" count="235" uniqueCount="164">
  <si>
    <t>RESPONSABLES</t>
  </si>
  <si>
    <t xml:space="preserve"> PLAN NACIONAL DESARROLLO</t>
  </si>
  <si>
    <t>SECTORIAL</t>
  </si>
  <si>
    <t>OBSERVACIONES</t>
  </si>
  <si>
    <t>NIVEL</t>
  </si>
  <si>
    <t>Estimación presupuestaria                        (Millones ¢)</t>
  </si>
  <si>
    <t>Sector: Vivienda y Asentamientos Humanos</t>
  </si>
  <si>
    <t>1.1.1 Programa de atención a situaciones  de desalojo o declaraciones de inhabitabilidad</t>
  </si>
  <si>
    <t>Número de viviendas reubicadas o habilitadas</t>
  </si>
  <si>
    <t xml:space="preserve">1.200 viviendas </t>
  </si>
  <si>
    <t xml:space="preserve">1.1.2 Programa de vivienda en Asentamientos Humanos  de extrema necesidad </t>
  </si>
  <si>
    <t xml:space="preserve">Incremento en el número de viviendas  atendidas  </t>
  </si>
  <si>
    <t>1.976+5.200=7.176)  viviendas)</t>
  </si>
  <si>
    <t xml:space="preserve">1.1.3  Programa de atención y prevención de riesgos y desastres </t>
  </si>
  <si>
    <t>Porcentaje de incremento en el número de Viviendas atendidas por emergencia.</t>
  </si>
  <si>
    <t xml:space="preserve">200 por año  en promedio 800 en 4 años
</t>
  </si>
  <si>
    <t xml:space="preserve">1.300 por año- 
5.200 en cuatro años   
</t>
  </si>
  <si>
    <t xml:space="preserve">1.200 incremento del 50% (1.200) en el número de viviendas atendidas en cuatro años total </t>
  </si>
  <si>
    <t>20.000  viviendas</t>
  </si>
  <si>
    <t>INVU</t>
  </si>
  <si>
    <t>BANHVI</t>
  </si>
  <si>
    <t xml:space="preserve">IFAM </t>
  </si>
  <si>
    <t xml:space="preserve">Número de viviendas  que reciben el bono de Reparación, Ampliación, Mejoramiento y Terminación </t>
  </si>
  <si>
    <t xml:space="preserve">3.1.7 Programa de mejoramiento barrial con Bono Comunal
</t>
  </si>
  <si>
    <t xml:space="preserve">Cantidad de proyectos integrales de mejoramiento ejecutados 
</t>
  </si>
  <si>
    <t>20 Proyectos integrales de mejoramiento de barrios ejecutados</t>
  </si>
  <si>
    <t>MIVAH</t>
  </si>
  <si>
    <t>IFAM</t>
  </si>
  <si>
    <t>Ministro(a) Rector(a): Sr. Rosendo Pujol</t>
  </si>
  <si>
    <t>MATRIZ DE SEGUIMIENTO SECTORIAL INDICADORES-METAS PROGRAMAS/PROYECTOS DEL PND 2015-2018</t>
  </si>
  <si>
    <t>SECTORIAL/MIVAH</t>
  </si>
  <si>
    <t>Ministro(a) Rector(a)</t>
  </si>
  <si>
    <t>OBJETIVO SECTORIAL</t>
  </si>
  <si>
    <t>INDICADORES DEL RESULTADO</t>
  </si>
  <si>
    <t xml:space="preserve">LINEA BASE </t>
  </si>
  <si>
    <t>META DE PERIODO  Y ANUAL</t>
  </si>
  <si>
    <t xml:space="preserve">Clasificación </t>
  </si>
  <si>
    <t xml:space="preserve">META SECTORIAL </t>
  </si>
  <si>
    <t>1. Satisfacer de forma integral   la necesidad de vivienda de sectores de la población en extrema necesidad para mejorar su calidad de vida</t>
  </si>
  <si>
    <t>1.1 Viviendas que responden a una política habitacional articulada al Ordenamiento Territorial.</t>
  </si>
  <si>
    <t>Porcentaje de reducción de la demanda insatisfecha de vivienda de los hogares de estratos 1 y 2 en encuesta de hogares 2013</t>
  </si>
  <si>
    <t xml:space="preserve">Número de hogares de estratos 1 y 2 con necesidad de vivienda según encuesta de hogares 2013
(76.288 hogares)
</t>
  </si>
  <si>
    <t xml:space="preserve">Porcentaje de reducción de demanda insatisfecha de vivienda de los hogares de estratos entre 3 a 6 </t>
  </si>
  <si>
    <t xml:space="preserve">Número de hogares de estratos 3 a 6 con necesidad de vivienda según encuesta de hogares 2013
(71.671 hogares) 
</t>
  </si>
  <si>
    <t xml:space="preserve">2015-2018: reducción de 42.3 % (30.400) de demanda insatisfecha  </t>
  </si>
  <si>
    <t>3. Formalizar  asentamientos humanos con proyectos de mejoramiento barrial y habitacional que respondan a planes reguladores y promuevan el acceso  equitativo a los recursos del territorio.</t>
  </si>
  <si>
    <t xml:space="preserve">3.1 Proyectos de mejoramiento barrial y habitacional,  que impulsen la regulación de asentamientos humanos  con apoyo municipal y de otras instituciones . </t>
  </si>
  <si>
    <t xml:space="preserve">Número de proyectos de vivienda y de mejoramiento barrial construidos 
</t>
  </si>
  <si>
    <t>2015-2018:  20  proyectos</t>
  </si>
  <si>
    <t>BANHVI**</t>
  </si>
  <si>
    <t>%</t>
  </si>
  <si>
    <t>Ejecución Presupuestaria (Millones colones)</t>
  </si>
  <si>
    <t>Fuente de financiamiento y programa presupuestario</t>
  </si>
  <si>
    <t>MIVAH: Marian Pérez       INVU: Alfredo Calderón      BANHVI:      Martha Camacho</t>
  </si>
  <si>
    <t>MIVAH: Silvia Valentinuzzi      INVU    BANHVI:        IFAM</t>
  </si>
  <si>
    <t xml:space="preserve">MIVAH:     INVU:      BANHVI:      </t>
  </si>
  <si>
    <t>Metas Anuales PND 2016</t>
  </si>
  <si>
    <t xml:space="preserve">%                 </t>
  </si>
  <si>
    <t>Observaciones</t>
  </si>
  <si>
    <t>MATRIZ DE SEGUIMIENTO A METAS DE OBJETIVOS SECTORIALES PND 2015-2018 AL 30 DE JUNIO 2016</t>
  </si>
  <si>
    <t>6 propuestas de intervención</t>
  </si>
  <si>
    <t>Recursos propios INVU
Financiamiento de otras fuentes
3. Programas Habitacionales</t>
  </si>
  <si>
    <t xml:space="preserve">100% en elaboración de propuestas a BANHVI para financiamiento del Proyecto Guararí Etapa 1 y Proyecto El Erizo Etapa 1. </t>
  </si>
  <si>
    <t>Ing. Alfredo Calderón Hernández</t>
  </si>
  <si>
    <t>Recursos INVU
Sistema Bancario Nacional en proceso de gestión
3. Programas Habitacionales</t>
  </si>
  <si>
    <t>100% en el avance de todas las etapas previas a la construcción del Proyecto Blële.</t>
  </si>
  <si>
    <t>Recursos propios INVU
3. Programas Habitacionales</t>
  </si>
  <si>
    <t>100% del avance en la definición de las familias por atender, según modalidad en el proyecto Guararí</t>
  </si>
  <si>
    <t>FODESAF Programa Presupuestario  No. 2 del BANHVI "Dirección y Administración de Operaciones"</t>
  </si>
  <si>
    <t>FODESAF Programa Presupuestario  No. 2 del BANHVI
"Dirección y Administración de Operaciones"</t>
  </si>
  <si>
    <t>Dirección FOSUVI BANHVI
Marta Camacho</t>
  </si>
  <si>
    <t>Dirección FOSUVI BANHVI                   Martha Camacho</t>
  </si>
  <si>
    <t>Unidad de Comunicaciones BANHVI
Ronald Espinoza</t>
  </si>
  <si>
    <t>40% de avance en el desarrollo de la propuesta del Programa de Renovación de Viviendas en centros urbanos deteriorados (intervenciones con Bono RAMT).</t>
  </si>
  <si>
    <t>13% avance en la gestión del Sistema de acceso a información relativa a la asignación de Bonos Ordinarios.</t>
  </si>
  <si>
    <t>804 bonos anuales pagados</t>
  </si>
  <si>
    <t xml:space="preserve">2.1.4 Programa de diversificación de oferta de soluciones habitacionales para grupos desatendidos, en pobreza y de clase media en los  principales asentamientos del país.
</t>
  </si>
  <si>
    <t>2.1.5 Programa de renovación de viviendas de clase media y clase baja (estratos 1 a 6).</t>
  </si>
  <si>
    <t>2.1.6 Proyecto de acceso a información de bonos de Vivienda.</t>
  </si>
  <si>
    <t xml:space="preserve">Número de consultas al Sistema de Información en asignación de Bonos de vivienda. 
</t>
  </si>
  <si>
    <t>Presupuesto institucional programa 811</t>
  </si>
  <si>
    <t>Dirección de Vivienda y Asentamientos Humanos MIVAH                           Arq. Marian Pérez</t>
  </si>
  <si>
    <t>Despacho MIVAH Ing. Eduardo Rodríguez y Dirección de Vivienda y Asentamientos Humanos MIVAH                           Arq. Marian Pérez</t>
  </si>
  <si>
    <t>DIGETE / MIVAH           Ing. Silvia Valentinuzzi   José Gabriel Román</t>
  </si>
  <si>
    <t>DIGITE                   Geovanny Sanabria   Bryan Zúñiga</t>
  </si>
  <si>
    <t>DIGITE                           Ing. Silvia Valentinuzzi</t>
  </si>
  <si>
    <t>2. Aumentar la diversidad y cantidad de viviendas  que se adecuen a las demandas  de la población en podreza y de clase media para atender las necesidades particulares de dicha población</t>
  </si>
  <si>
    <t>2.1 Vivienda que cumpla con las expectativas de la población en pobreza y clase media, en términos de calidad y precio competitivo.</t>
  </si>
  <si>
    <t xml:space="preserve">      2016:      (3.9 %)- (3.000)     </t>
  </si>
  <si>
    <t xml:space="preserve">2015-2018: reducción de 12.5  % (9.600)    </t>
  </si>
  <si>
    <t xml:space="preserve">      2016:      (13.9%) – (9962)           </t>
  </si>
  <si>
    <t xml:space="preserve">      2016:        6 proyectos         </t>
  </si>
  <si>
    <t>Programa PND 2015-2018</t>
  </si>
  <si>
    <t>Indicador del programa PND 2015-2018</t>
  </si>
  <si>
    <t>LINEA BASE</t>
  </si>
  <si>
    <t xml:space="preserve">Meta periodo PND 2015-2018  </t>
  </si>
  <si>
    <t>PROGRAMACIÓN ANUAL 2016</t>
  </si>
  <si>
    <t>CUMPLIMIENTO ANUAL METAS PROGRAMAS/PROYECTOS Al 31 de Diciembre 2016</t>
  </si>
  <si>
    <t xml:space="preserve">Cumplimiento anual   </t>
  </si>
  <si>
    <t>Resultado</t>
  </si>
  <si>
    <t>Clasificación de la meta</t>
  </si>
  <si>
    <t>Avance Acumulado (2015+ 2016)</t>
  </si>
  <si>
    <t>Resultado acumulado</t>
  </si>
  <si>
    <t xml:space="preserve"> RESULTADOS SECTORIALES</t>
  </si>
  <si>
    <t>CUMPLIMIENTO ANUAL METAS OBJETIVOS SECTORIALES AL 31 DICIEMBRE 2016</t>
  </si>
  <si>
    <t>Resultado 31 DIC</t>
  </si>
  <si>
    <t>Acumulado período (2015+ 2016)</t>
  </si>
  <si>
    <t>Clasificación para metas de objetivos  sectoriales, metas de programas,
regionales e institucinales</t>
  </si>
  <si>
    <t>Cumplida</t>
  </si>
  <si>
    <t xml:space="preserve">Cuando el resultado anual obtenido es igual o mayor al 80%. </t>
  </si>
  <si>
    <t>Parcialmente cumplida</t>
  </si>
  <si>
    <t>Cuando el resultado anual obtenido es mayor al 50% y menor o igual al 79,9%.</t>
  </si>
  <si>
    <t>No cumplida</t>
  </si>
  <si>
    <t xml:space="preserve">Cuando el resultado anual obtenido es menor o igual a 49,9%. </t>
  </si>
  <si>
    <t>Categorías para la clasificación 
de programas/proyectos del PND 2015-2018</t>
  </si>
  <si>
    <t>De acuerdo con lo programado</t>
  </si>
  <si>
    <t xml:space="preserve">Cuando la ejecución del programa/proyecto avanza de acuerdo con lo previsto por el sector y la institución. </t>
  </si>
  <si>
    <t>Con riesgo de incumplimiento</t>
  </si>
  <si>
    <t>Cuando el avance del programa/proyecto es menor a lo previsto por el sector y la institución y representa una amenaza controlable para su cumplimiento al final del cuatrienio.</t>
  </si>
  <si>
    <t>Con atraso crítico</t>
  </si>
  <si>
    <t>Cuando el avance del programa/proyecto es menor a lo previsto por el sector y la institución y representa una seria amenaza para su cumplimiento al final del cuatrienio.</t>
  </si>
  <si>
    <t>La elaboración de propuestas a BANHVI para financiamiento del Proyecto Guararí fue concluida en un 100%.
En relación a la propuesta al Proyecto El Erizo Etapa 1 no muestra avance. Las ofertas valoradas hasta el momento para la compra de terrenos, no cumplen con los requerimientos solicitados.</t>
  </si>
  <si>
    <t>Se encuentra pendiente la respuesta de la CGR sobre la consulta de aplicación de los principios de contratación administrativa por parte del Fondo de Inversión del banco Popular.</t>
  </si>
  <si>
    <t>En el IV trimestre 2016 se adjudicó la contratación del grupo de profesionales en trabajo social para atender el censo de aproximadamente 2.000 familias, el cual se reprogramó para ejecutar en el I trimestre 2017.</t>
  </si>
  <si>
    <t>De acuerdo con lo establecido por MIVAH corresponde a casos de Triángulo de la Solidaridad, La Carpio y bonos ordinarios en que el perito determinó que la vivienda se encontraba en tan mal estado que no se justificaba realizar obras de mejoras sino que debía ser demolida y construida una nueva vivienda. Se pagaron 25 casos Triángulo de la Solidaridad por ¢435,43 millones + 4 casos de La Carpio por ¢88,23 millones, así como 1,853 bonos ordinarios por ¢11.859,0 millones, en los cuales el perito determinó que la vivienda se encontraba en tan mal estado que no se justificaba realizar obras de mejoras sino que debía ser demolida y construida una nueva vivienda.</t>
  </si>
  <si>
    <t xml:space="preserve">De acuerdo con solicitud de MIVAH corresponde a los casos tramitados en el propósito Reparación, Ampliación, Mejoras y Terminación de Vivienda (RAMT). </t>
  </si>
  <si>
    <t>Se alcanza y se supera en forma satisfactoria la meta establecida.</t>
  </si>
  <si>
    <t>De acuerdo con solicitud de MIVAH corresponde a casos de los proyectos Tomas, Erizo, Cascabel, Jesús María y Josué. 16 casos Tomas pagados por ¢259,4 millones.</t>
  </si>
  <si>
    <t>Para el año 2017, el responsable será el Msc. Lidier Esquivel.</t>
  </si>
  <si>
    <t>Formulación Plan de Asistencia Técnica y Asesoría con participación de los Gobiernos Locales.</t>
  </si>
  <si>
    <t>Se presenta al Ministro del MIVAH 2 visores web para apoyar el sistema de acceso a información de vivienda que tiene la página del BANHVI. De los 2 visores, el Ministro realizó validación de uno y realizó observaciones y ajustes para el segundo, terminándose la mismas en diciembre del 2016. Para inicios del 2017 se pretende habilitar acceso externo en la web del MIVAH de los 2 visores. 
Considerando que para el tercer trimestre se esperaba tener al menos un informe de seguimiento (3%),el mismo no se logra por no tener los visores en la web, razón por la cual se alcanza un avance del 10%, del 13% propuesto en la meta. 
Con respecto al presupuesto, la estimación presupuestaria era de ¢37 millones y se ejecutaron ¢33,25 millones.
La diferencia radica en que (según informe presupuestal 2016), en la Ley de Presupuesto del MIVAH, se contaba con  una estimación para el programa presupuestario 815 (Ordenamiento Territorial) de ¢489,6 millones, y el Presupuesto Actual (autorizado) cerró en ¢563,2. Aparentemente existe un incremento en el presupuesto, pero se motiva en el hecho de que existían ¢100 millones que se presupuestaron para transferir al IFAM, siendo ese monto no ejecutable para las actividades del programa, porque no entra como un presupuesto de trabajo. No obstante, se dan rebajas en el presupuesto del programa para atender solicitud del Ministerio de Hacienda, por lo tanto al final, el presupuesto de trabajo para esta actividad fue de ¢34,7 millones.</t>
  </si>
  <si>
    <r>
      <rPr>
        <strike/>
        <sz val="10"/>
        <rFont val="Arial"/>
        <family val="2"/>
      </rPr>
      <t xml:space="preserve">
</t>
    </r>
    <r>
      <rPr>
        <sz val="10"/>
        <rFont val="Arial"/>
        <family val="2"/>
      </rPr>
      <t xml:space="preserve">Número de viviendas para grupos desatendidos en pobreza y clase media, con bono ordinario.  </t>
    </r>
  </si>
  <si>
    <t xml:space="preserve">Se terminó el proyecto Los Cuadros, ubicado en San José, Goicoechea, Purral; el cual beneficia en forma directa alrededor de  2,164 familias. Asimismo, se aprobaron las prefactibilidades de los proyectos Parque Amarillo ubicado en Guatuso, La Libertad en Pavas, Plaza León XIII en Tibás, Parque Recreativo Mi Patio en Barranca y Parque Poas Identidad y Progreso en Aserrí.  Actualmente se encuentran 7 proyectos en construcción, 2 con financiamiento aprobado y  14 con prefactibilidad aprobada. </t>
  </si>
  <si>
    <t>300 viviendas gestionadas</t>
  </si>
  <si>
    <t>428 gestionadas</t>
  </si>
  <si>
    <t>1.794 viviendas gestionadas o revisadas</t>
  </si>
  <si>
    <t xml:space="preserve">201 gestionadas y 1.502 revisadas (Datos del último trimestre del 2016).
Se ha realizado un proceso y seguimiento a los grupos de familias ubicada en la Zona Fronteriza, en los terrenos donde se ubica Hogares Crea y otras ubicadas en calle publica Precario La Unión, el grupo se constituye de 31 familias identificadas inicialmente por el IMAS. Con Presidencia se dio seguimiento al proyecto de exoreros y ya está en diseño un proyecto de 150 viviendas en Río Claro a la cual se incorporarán los beneficiarios de Puente de la zona también. Se tramita el proyecto El Pretal en Cañas (20 familias referidas por casa presidencial. Se revisaron 11 proyectos con 1502 viviendas para programa Puente. </t>
  </si>
  <si>
    <t>300 Gestionadas</t>
  </si>
  <si>
    <t>Continúa el acompañamiento a proyectos en periferias urbanas (San Nicolás, Orosi,  y Barrio México). El seguimiento a los proyectos es clave para la formulación de 5 modelos de atención (diagnóstico, formulación y gestión): en las periferias de la GAM (procesos de expansión-Orosi), centro de las ciudades (procesos de densificación en Barrio México),  ciudades secundarias (Nicoya y Turrialba).</t>
  </si>
  <si>
    <t xml:space="preserve">Este año se entregó la primera franja del Triángulo Solidario y están en trámite las viviendas para la segunda franja y el resto de la vía de 40m (56 viviendas entregadas, 123 en trámite), para un total de 179 viviendas.  Para Cascabela hay 83, Bajo Zamora 122, más las individuales. </t>
  </si>
  <si>
    <t>Presupuesto IFAM</t>
  </si>
  <si>
    <t xml:space="preserve">307.500 hogares consultan la base </t>
  </si>
  <si>
    <t>1.050  Viviendas gestionadas en proyectos modelo</t>
  </si>
  <si>
    <t>Esta meta fue planteada para coadyuvar con el cumplimiento de los tres Programas del PND vinculados al Sector Vivienda.
Ver detalle en Informe de Resultados Cualitativos (archivo de Word), adjunto al presente Informe.
El aporte del IFAM para cada uno de los tres Programa de PND, Sector Vivienda, en los que se está reportando,  le informo que la participación de cada Programa sería del 33%, equivalente a ₡ 28.3 millones,  para un total de los 85.0 millones de colones ejecutados. Al  momento de realizar la planificación de los objetivos y metas no se previó establecer un peso relativo de cada Programa del PND participación, sin embargo, es importante indicar que los recursos programados se tomaron del Programa Presupuestario 2, Actividad 3, denominada "Capacitación y Formación".</t>
  </si>
  <si>
    <t>Corresponde a casos de Extrema Necesidad. De acuerdo con lo indicado por MIVAH se incluyen todos los casos de Artículo 59 y casos Indígenas tramitados como bonos regulares. Se tramitaron 1509 casos Artículo 59 y 126 casos Indígenas tramitados como bonos regulares.</t>
  </si>
  <si>
    <t>484 viviendas evaluadas e incorporadas a listas de emergencia.
Se atendieron los territorios afectados por dos emergencias en el cuarto trimestre: huracán Otto y terremoto de Cartago.  Para Otto se valoraron las 471 viviendas reportadas por los comités locales de emergencia de 9 cantones y en Cartago 13.  Total registrado 484.</t>
  </si>
  <si>
    <t>De acuerdo con solicitud de MIVAH corresponde a los casos de Ahorro-Bono-Crédito, Adulto Mayor, Discapacidad y bonos regulares. Se pagaron 407 bonos de Ahorro-Bono-Crédito, 551 casos de Adulto Mayor, 413 de Discapacidad y 5,678 bonos regulares.</t>
  </si>
  <si>
    <t>Del 40% de avance estimado para el 2016, se logra un 37% en función de los siguientes hechos: 
Considerando que el proceso tiene luz verde para iniciar a mediados del 2016, se logra exponer el programa RAMT a 16 alcaldías, de las 17 programadas (15 alcaldes y 1 vicealcalde).
De las 16 alcaldías visitadas, 11 municipalidades mostraron interés en continuar con las etapas subsiguientes de la estrategia expuesta, y 5 municipios quedaron sujetos a un posterior proceso a definir por el Alcalde. 
De las 11 alcaldías interesadas, se logra avanzar con 7 en realizar reuniones con las partes municipales, las organizaciones de apoyo y grupos de base, avanzando 2 de estos municipios a la fase de postulación, con posible implementación del bono a inicios del 2017. 
Esta consideración hace, que a pesar de no iniciar proyectos en el 2016, quedaron a la puerta de arrancar en el 2017. 
Las restantes 4 alcaldías, dejaron programadas las reuniones con los grupos de base para el 2017.  
A nivel presupuestal, la estimación presupuestaria era de ¢86 millones y se ejecutaron ¢77,6 millones. La diferencia radica en que (según informe presupuestal 2016), en  la Ley de Presupuesto del MIVAH, se contaba con una estimación para el programa presupuestario 815 (Ordenamiento Territorio)  de ¢489,6 millones, y el Presupuesto Actual (autorizado) cerró en ¢563,2. Aparentemente existe un incremento en el presupuesto, pero se motiva en el hecho de que existían ¢100 millones que se presupuestaron para transferir al IFAM, siendo ese monto no ejecutable para las actividades del programa, porque no entra como un presupuesto de trabajo. No obstante, se dan rebajas en el presupuesto del  programa para atender solicitud del Ministerio de Hacienda. Al final el presupuesto de trabajo para esta actividad  fue de ¢81 millones.</t>
  </si>
  <si>
    <t>SECTOR DE VIVIENDA Y ASENTAMIENTOS HUMANOS</t>
  </si>
  <si>
    <t>PERIODO 2016</t>
  </si>
  <si>
    <r>
      <rPr>
        <b/>
        <sz val="11"/>
        <color theme="1"/>
        <rFont val="Calibri"/>
        <family val="2"/>
        <scheme val="minor"/>
      </rPr>
      <t xml:space="preserve">Fuente: </t>
    </r>
    <r>
      <rPr>
        <sz val="11"/>
        <color theme="1"/>
        <rFont val="Calibri"/>
        <family val="2"/>
        <scheme val="minor"/>
      </rPr>
      <t>Información suministrada por las instituciones que conforman el Sector de Vivienda y Asentamientos Humanos. Periodo 2016.</t>
    </r>
  </si>
  <si>
    <t>La meta definida es para el MIVAH, para el año 2016, la CNE no programó actividades que se pudieran vincular con esta meta. 
Lo que me parece que cabe es señalar que lo que corresponde a la CNE se ejecuta a partir de este año, con el tema de información, tal y como lo hemos definido. Claro, tuvimos un error al definir  para el 2016 unas actividades relacionadas con recursos del Fondo de Emergencia, para atender viviendas de la Tormenta Tomás. Como haya sido, que el MIVAH o el BANHVI lo hayan o no lo hayan ejecutado, la gestión no es nuestra y no correspondía comprometerse con eso, nosotros solo ponemos los recursos y como son del Fondo y no del presupuesto y responden a una declaratoria de emergencia, entonces no puede servir para cumplimientos con el PND. Reitero, esto no lo podía hacer la CNE porque esa labor es de declaratorias de emergencia y no es objeto de fiscalización por la vía ordinaria, es decir, no están vinculadas ni al plan estratégico ni al POI.</t>
  </si>
  <si>
    <t>El resultado obtenido  tiene la siguiente distribución:  2015: 10 propuestas que correspondieron a los casos de:
* Los Cuadros en Goicoechea, 
* Tierra Prometida en Pérez Zeledón, 
* 8 propuestas definidas mediante el I Concurso de Bono Colectivo, 2015. 
2016: 7 propuestas de intervención definidas mediante el II Concurso  de Bono Colectivo,  2016, que corresponden a los casos de: La Cima, cantón de La Unión; Paseo Ecocultural, cantón de El Guarco; Parque Jorge de Bravo cantón de Turrialba; Acosta activa, cantón de Acosta; La Corina Rodriguez en cantón Alajuelita; Parque Los Malinches en cantón de Upala; Parque Los Chiles en cantón Los Chiles. Lo que significará una inversión de alrededor de ¢4.344  millones de  colones.
1. Seguimiento y evaluación a las intervenciones de mejoramiento barrial. Se incluye la siguiente información: 
Proyectos concluidos:  En el 2016 se terminó satisfactoriamente el  proyecto de mejoramiento de barrios de la comunidad de Los Cuadros  de Goicochea,  se aprobó mediante acuerdo de  la Junta  Directiva del BANHVI  el 03 de octubre del 2011 Consideró mejoras en   la construcción de  espació públicos, canchas multiuso, mejoras en la  escuela y en el CENCINAI. Se estima que la población beneficiaria es de 7.000 familias. Inició proceso constructivo  el 13 de abril del 2015   y finalizó  con la aceptación de las obras por parte del gobierno local  el 20 de abril del 2016 y  mediante  acuerdo municipal SM-0610-16, implicó una inversión por parte del SNFV  de ¢1.368.796.968 millones de colones.
Proyectos en fase constructiva:
Los Lirios, Limón: La intervención  considera mejoras en  la red pluvial, red potable  asfaltado, hidrantes, cordón y caño cuneta, aceras y mejoramiento de la infraestructura de las Escuela Los Lirios. Reinicia proceso constructivo el 18 de abril del 2016 luego de haber sido suspendido  al declarase en quiebra la empresa Navarro en 2013 que esta  cargo de la construcción de las obras. Para diciembre del 2016 el  estado de avance del proyecto era de un 80%, y se estima la conclusión del mismo para febrero del 2017. El número de familias beneficiarias es de 205.
Asentamiento Corazón de Jesús, Liberia: Proyecto reiniciado el 9 de noviembre del 2016, duró en paro técnico desde marzo 2015 a raíz de un diferendo entre el empresa RAASA y Grupo Mutual. Se espera que finalizase en  enero 2017 en proyecto en su totalidad considera el asfaltado de calles, construcción de aceras , sistema de evacuación aguas, mejoramiento del acueducto e instalación de parques infantiles . Representa una inversión de ¢ 2.357.947 millones de colones que beneficiarán a 521 familias.
Tirrases I, Curridabat: Este  proyecto inició proceso constructivo el 7 de agosto del 2014.Tal y como se ha indicado anteriormente  representa  una inversión  de ¢1.1519.276.343 millones de colones, para diciembre del 2016 se reporta un avance del un 80%. . La intervención  planteada  considera mejoras en  espacio público  mediante la construcción de gimnasio, parques mejoramiento de plaza de fútbol,  y  mobiliario urbanos; si bien el proyecto esta proyectado  para terminar en el segundo trimestre del  2017. Reporta un  avance del 85%.
Tirrases II, Curridabat:  inició proceso constructivo el  6 diciembre del 2016, tiene un avance del 22%, considera la construcción Centro de desarrollo Comunitario que tiene un costo ¢1.388.200.656. Beneficiará a 1.100 familias .
Sector 8, Desamparados: Inició proceso constructivo el 6 de diciembre del 2016 se estima que las obras estén concluidas para mayo del 2017. Las mejoras a consideran la red pluvia, la red potable, 1 Km de calle en concreto, aceras, parques, hidrantes. Presenta una inversión por parte del SFNV de ¢1.251.262.171.</t>
  </si>
  <si>
    <t>INSTITUCIONAL MIVAH</t>
  </si>
  <si>
    <t>INSTITUCIONAL INVU</t>
  </si>
  <si>
    <t>INSTITUCIONAL BANHVI</t>
  </si>
  <si>
    <t xml:space="preserve">INSTITUCIONAL MIVAH </t>
  </si>
  <si>
    <t>INSTITUCIONAL IFAM</t>
  </si>
  <si>
    <t>INSTITUCIONAL CNE</t>
  </si>
  <si>
    <t xml:space="preserve">FODESAF
Programa Presupuestario  No. 2 del BANHVI "Dirección y Administración de Operaciones"
</t>
  </si>
  <si>
    <t xml:space="preserve">BANHVI Programa Presupuestario 
No. 1  Dirección y Administración Superior Subprograma No. 8
</t>
  </si>
  <si>
    <t>Programa 815</t>
  </si>
  <si>
    <t>Dirección FOSUVI BANHV I                   Martha Camacho</t>
  </si>
  <si>
    <t>Dirección FOSUVI BANHVI                              Martha Camacho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</si>
</sst>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30" x14ac:knownFonts="1">
    <font>
      <sz val="11"/>
      <color theme="1"/>
      <name val="Calibri"/>
      <family val="2"/>
      <scheme val="minor"/>
    </font>
    <font>
      <b/>
      <sz val="10"/>
      <name val="Arial"/>
      <family val="2"/>
    </font>
    <font>
      <sz val="12"/>
      <color theme="1"/>
      <name val="Arial"/>
      <family val="2"/>
    </font>
    <font>
      <b/>
      <sz val="14"/>
      <color theme="0"/>
      <name val="Arial"/>
      <family val="2"/>
    </font>
    <font>
      <b/>
      <sz val="9"/>
      <name val="Arial"/>
      <family val="2"/>
    </font>
    <font>
      <sz val="9"/>
      <name val="Arial"/>
      <family val="2"/>
    </font>
    <font>
      <b/>
      <sz val="12"/>
      <color theme="0"/>
      <name val="Arial"/>
      <family val="2"/>
    </font>
    <font>
      <sz val="9"/>
      <color theme="1"/>
      <name val="Calibri"/>
      <family val="2"/>
      <scheme val="minor"/>
    </font>
    <font>
      <b/>
      <sz val="9"/>
      <color theme="1"/>
      <name val="Arial"/>
      <family val="2"/>
    </font>
    <font>
      <sz val="9"/>
      <color theme="1"/>
      <name val="Arial"/>
      <family val="2"/>
    </font>
    <font>
      <b/>
      <sz val="8"/>
      <name val="Arial"/>
      <family val="2"/>
    </font>
    <font>
      <sz val="11"/>
      <color theme="1"/>
      <name val="Calibri"/>
      <family val="2"/>
      <scheme val="minor"/>
    </font>
    <font>
      <b/>
      <sz val="9"/>
      <color rgb="FFFF0000"/>
      <name val="Arial"/>
      <family val="2"/>
    </font>
    <font>
      <b/>
      <sz val="9"/>
      <color theme="0"/>
      <name val="Arial"/>
      <family val="2"/>
    </font>
    <font>
      <b/>
      <sz val="12"/>
      <color theme="1"/>
      <name val="Calibri"/>
      <family val="2"/>
      <scheme val="minor"/>
    </font>
    <font>
      <b/>
      <sz val="14"/>
      <name val="Arial Narrow"/>
      <family val="2"/>
    </font>
    <font>
      <u/>
      <sz val="11"/>
      <color theme="10"/>
      <name val="Calibri"/>
      <family val="2"/>
      <scheme val="minor"/>
    </font>
    <font>
      <u/>
      <sz val="11"/>
      <color theme="11"/>
      <name val="Calibri"/>
      <family val="2"/>
      <scheme val="minor"/>
    </font>
    <font>
      <sz val="8"/>
      <name val="Calibri"/>
      <family val="2"/>
      <scheme val="minor"/>
    </font>
    <font>
      <sz val="10"/>
      <name val="Arial"/>
      <family val="2"/>
    </font>
    <font>
      <b/>
      <sz val="10"/>
      <color theme="1"/>
      <name val="Arial Narrow"/>
      <family val="2"/>
    </font>
    <font>
      <b/>
      <sz val="10"/>
      <color rgb="FFFFFFFF"/>
      <name val="Arial Narrow"/>
      <family val="2"/>
    </font>
    <font>
      <b/>
      <sz val="14"/>
      <color rgb="FF17375E"/>
      <name val="Arial"/>
      <family val="2"/>
    </font>
    <font>
      <b/>
      <sz val="11"/>
      <color rgb="FF000000"/>
      <name val="Arial"/>
      <family val="2"/>
    </font>
    <font>
      <b/>
      <sz val="10"/>
      <color theme="1"/>
      <name val="Arial"/>
      <family val="2"/>
    </font>
    <font>
      <sz val="10"/>
      <color theme="1"/>
      <name val="Arial"/>
      <family val="2"/>
    </font>
    <font>
      <strike/>
      <sz val="10"/>
      <name val="Arial"/>
      <family val="2"/>
    </font>
    <font>
      <b/>
      <sz val="11"/>
      <color theme="1"/>
      <name val="Calibri"/>
      <family val="2"/>
      <scheme val="minor"/>
    </font>
    <font>
      <b/>
      <sz val="12"/>
      <name val="Arial"/>
      <family val="2"/>
    </font>
    <font>
      <b/>
      <sz val="20"/>
      <color theme="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rgb="FF73B632"/>
        <bgColor indexed="64"/>
      </patternFill>
    </fill>
    <fill>
      <patternFill patternType="solid">
        <fgColor rgb="FFF5D90C"/>
        <bgColor indexed="64"/>
      </patternFill>
    </fill>
    <fill>
      <patternFill patternType="solid">
        <fgColor rgb="FFB30A2D"/>
        <bgColor indexed="64"/>
      </patternFill>
    </fill>
    <fill>
      <patternFill patternType="solid">
        <fgColor rgb="FFD9D9D9"/>
        <bgColor indexed="64"/>
      </patternFill>
    </fill>
    <fill>
      <patternFill patternType="solid">
        <fgColor theme="0" tint="-0.14999847407452621"/>
        <bgColor rgb="FF000000"/>
      </patternFill>
    </fill>
  </fills>
  <borders count="100">
    <border>
      <left/>
      <right/>
      <top/>
      <bottom/>
      <diagonal/>
    </border>
    <border>
      <left style="thick">
        <color theme="0"/>
      </left>
      <right style="thick">
        <color theme="0"/>
      </right>
      <top style="thick">
        <color theme="0"/>
      </top>
      <bottom/>
      <diagonal/>
    </border>
    <border>
      <left style="thick">
        <color theme="0"/>
      </left>
      <right/>
      <top style="thick">
        <color theme="0"/>
      </top>
      <bottom/>
      <diagonal/>
    </border>
    <border>
      <left style="thick">
        <color theme="0"/>
      </left>
      <right/>
      <top/>
      <bottom style="thick">
        <color theme="0"/>
      </bottom>
      <diagonal/>
    </border>
    <border>
      <left style="thick">
        <color theme="0"/>
      </left>
      <right style="thick">
        <color theme="0"/>
      </right>
      <top/>
      <bottom/>
      <diagonal/>
    </border>
    <border>
      <left/>
      <right style="thick">
        <color theme="0"/>
      </right>
      <top/>
      <bottom style="thick">
        <color theme="0"/>
      </bottom>
      <diagonal/>
    </border>
    <border>
      <left/>
      <right style="thick">
        <color theme="0"/>
      </right>
      <top style="thick">
        <color theme="0"/>
      </top>
      <bottom/>
      <diagonal/>
    </border>
    <border>
      <left style="thick">
        <color theme="0"/>
      </left>
      <right style="thin">
        <color auto="1"/>
      </right>
      <top style="thick">
        <color theme="0"/>
      </top>
      <bottom/>
      <diagonal/>
    </border>
    <border>
      <left style="thick">
        <color theme="0"/>
      </left>
      <right style="thick">
        <color theme="0"/>
      </right>
      <top/>
      <bottom style="medium">
        <color auto="1"/>
      </bottom>
      <diagonal/>
    </border>
    <border>
      <left style="thick">
        <color theme="0"/>
      </left>
      <right style="thick">
        <color theme="0"/>
      </right>
      <top/>
      <bottom style="thick">
        <color theme="0"/>
      </bottom>
      <diagonal/>
    </border>
    <border>
      <left/>
      <right/>
      <top style="thick">
        <color theme="0"/>
      </top>
      <bottom/>
      <diagonal/>
    </border>
    <border>
      <left/>
      <right style="thick">
        <color theme="0"/>
      </right>
      <top/>
      <bottom/>
      <diagonal/>
    </border>
    <border>
      <left style="thick">
        <color theme="0"/>
      </left>
      <right style="thin">
        <color auto="1"/>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ck">
        <color theme="0"/>
      </left>
      <right style="thick">
        <color theme="0"/>
      </right>
      <top style="thick">
        <color theme="0"/>
      </top>
      <bottom style="thick">
        <color theme="0"/>
      </bottom>
      <diagonal/>
    </border>
    <border>
      <left style="thin">
        <color auto="1"/>
      </left>
      <right/>
      <top style="thick">
        <color theme="0"/>
      </top>
      <bottom style="thick">
        <color theme="0"/>
      </bottom>
      <diagonal/>
    </border>
    <border>
      <left style="thin">
        <color auto="1"/>
      </left>
      <right/>
      <top/>
      <bottom/>
      <diagonal/>
    </border>
    <border>
      <left style="thin">
        <color auto="1"/>
      </left>
      <right/>
      <top/>
      <bottom style="thick">
        <color theme="0"/>
      </bottom>
      <diagonal/>
    </border>
    <border>
      <left/>
      <right/>
      <top/>
      <bottom style="thick">
        <color theme="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thick">
        <color theme="0"/>
      </left>
      <right/>
      <top style="thick">
        <color theme="0"/>
      </top>
      <bottom style="thin">
        <color auto="1"/>
      </bottom>
      <diagonal/>
    </border>
    <border>
      <left style="thick">
        <color theme="0"/>
      </left>
      <right/>
      <top style="thick">
        <color theme="0"/>
      </top>
      <bottom style="thick">
        <color theme="0"/>
      </bottom>
      <diagonal/>
    </border>
    <border>
      <left style="thick">
        <color indexed="9"/>
      </left>
      <right/>
      <top style="thick">
        <color indexed="9"/>
      </top>
      <bottom/>
      <diagonal/>
    </border>
    <border>
      <left style="medium">
        <color theme="0"/>
      </left>
      <right/>
      <top style="medium">
        <color theme="0"/>
      </top>
      <bottom style="medium">
        <color theme="0"/>
      </bottom>
      <diagonal/>
    </border>
    <border>
      <left style="thick">
        <color indexed="9"/>
      </left>
      <right/>
      <top style="medium">
        <color theme="0"/>
      </top>
      <bottom style="medium">
        <color theme="0"/>
      </bottom>
      <diagonal/>
    </border>
    <border>
      <left style="thick">
        <color theme="0"/>
      </left>
      <right style="thick">
        <color theme="0" tint="-4.9989318521683403E-2"/>
      </right>
      <top style="thick">
        <color theme="0"/>
      </top>
      <bottom style="thick">
        <color indexed="9"/>
      </bottom>
      <diagonal/>
    </border>
    <border>
      <left style="thick">
        <color theme="0"/>
      </left>
      <right style="thick">
        <color theme="0"/>
      </right>
      <top style="thick">
        <color theme="0" tint="-4.9989318521683403E-2"/>
      </top>
      <bottom/>
      <diagonal/>
    </border>
    <border>
      <left style="thick">
        <color theme="0" tint="-4.9989318521683403E-2"/>
      </left>
      <right/>
      <top style="thick">
        <color theme="0" tint="-4.9989318521683403E-2"/>
      </top>
      <bottom style="thin">
        <color auto="1"/>
      </bottom>
      <diagonal/>
    </border>
    <border>
      <left style="thick">
        <color theme="0" tint="-4.9989318521683403E-2"/>
      </left>
      <right style="thick">
        <color theme="0" tint="-4.9989318521683403E-2"/>
      </right>
      <top style="thick">
        <color theme="0" tint="-4.9989318521683403E-2"/>
      </top>
      <bottom style="thick">
        <color theme="0" tint="-4.9989318521683403E-2"/>
      </bottom>
      <diagonal/>
    </border>
    <border>
      <left style="thick">
        <color theme="0" tint="-4.9989318521683403E-2"/>
      </left>
      <right style="thick">
        <color theme="0" tint="-4.9989318521683403E-2"/>
      </right>
      <top style="thick">
        <color theme="0" tint="-4.9989318521683403E-2"/>
      </top>
      <bottom style="thick">
        <color indexed="9"/>
      </bottom>
      <diagonal/>
    </border>
    <border>
      <left style="thick">
        <color theme="0"/>
      </left>
      <right style="thick">
        <color theme="0"/>
      </right>
      <top style="thick">
        <color theme="0" tint="-4.9989318521683403E-2"/>
      </top>
      <bottom style="thick">
        <color theme="0"/>
      </bottom>
      <diagonal/>
    </border>
    <border>
      <left style="thick">
        <color theme="0" tint="-4.9989318521683403E-2"/>
      </left>
      <right style="thick">
        <color theme="0"/>
      </right>
      <top style="thick">
        <color theme="0"/>
      </top>
      <bottom style="thick">
        <color theme="0"/>
      </bottom>
      <diagonal/>
    </border>
    <border>
      <left style="thick">
        <color theme="0" tint="-4.9989318521683403E-2"/>
      </left>
      <right style="thick">
        <color theme="0"/>
      </right>
      <top style="thick">
        <color theme="0"/>
      </top>
      <bottom/>
      <diagonal/>
    </border>
    <border>
      <left style="thick">
        <color theme="0" tint="-4.9989318521683403E-2"/>
      </left>
      <right style="thick">
        <color theme="0"/>
      </right>
      <top/>
      <bottom/>
      <diagonal/>
    </border>
    <border>
      <left style="thick">
        <color theme="0" tint="-4.9989318521683403E-2"/>
      </left>
      <right style="thick">
        <color theme="0"/>
      </right>
      <top/>
      <bottom style="thick">
        <color theme="0"/>
      </bottom>
      <diagonal/>
    </border>
    <border>
      <left style="thick">
        <color theme="0"/>
      </left>
      <right style="thick">
        <color theme="0" tint="-4.9989318521683403E-2"/>
      </right>
      <top style="thick">
        <color theme="0"/>
      </top>
      <bottom style="thick">
        <color theme="0"/>
      </bottom>
      <diagonal/>
    </border>
    <border>
      <left style="thick">
        <color theme="0"/>
      </left>
      <right style="thick">
        <color theme="0" tint="-4.9989318521683403E-2"/>
      </right>
      <top style="thick">
        <color theme="0"/>
      </top>
      <bottom/>
      <diagonal/>
    </border>
    <border>
      <left style="thick">
        <color theme="0"/>
      </left>
      <right style="thick">
        <color theme="0" tint="-4.9989318521683403E-2"/>
      </right>
      <top/>
      <bottom/>
      <diagonal/>
    </border>
    <border>
      <left style="thick">
        <color theme="0"/>
      </left>
      <right style="thick">
        <color theme="0" tint="-4.9989318521683403E-2"/>
      </right>
      <top/>
      <bottom style="thick">
        <color theme="0"/>
      </bottom>
      <diagonal/>
    </border>
    <border>
      <left style="thick">
        <color theme="0" tint="-4.9989318521683403E-2"/>
      </left>
      <right style="thick">
        <color theme="0"/>
      </right>
      <top style="thick">
        <color theme="0" tint="-4.9989318521683403E-2"/>
      </top>
      <bottom/>
      <diagonal/>
    </border>
    <border>
      <left style="thick">
        <color theme="0"/>
      </left>
      <right style="thick">
        <color theme="0"/>
      </right>
      <top/>
      <bottom style="thick">
        <color theme="0" tint="-4.9989318521683403E-2"/>
      </bottom>
      <diagonal/>
    </border>
    <border>
      <left style="thin">
        <color auto="1"/>
      </left>
      <right style="thick">
        <color theme="0" tint="-4.9989318521683403E-2"/>
      </right>
      <top style="thin">
        <color auto="1"/>
      </top>
      <bottom style="thick">
        <color theme="0" tint="-4.9989318521683403E-2"/>
      </bottom>
      <diagonal/>
    </border>
    <border>
      <left style="thin">
        <color auto="1"/>
      </left>
      <right style="thick">
        <color theme="0" tint="-4.9989318521683403E-2"/>
      </right>
      <top style="thick">
        <color theme="0" tint="-4.9989318521683403E-2"/>
      </top>
      <bottom style="thick">
        <color theme="0" tint="-4.9989318521683403E-2"/>
      </bottom>
      <diagonal/>
    </border>
    <border>
      <left style="medium">
        <color auto="1"/>
      </left>
      <right/>
      <top/>
      <bottom/>
      <diagonal/>
    </border>
    <border>
      <left style="thick">
        <color theme="0" tint="-4.9989318521683403E-2"/>
      </left>
      <right style="thick">
        <color theme="0" tint="-4.9989318521683403E-2"/>
      </right>
      <top style="thick">
        <color theme="0" tint="-4.9989318521683403E-2"/>
      </top>
      <bottom style="thin">
        <color auto="1"/>
      </bottom>
      <diagonal/>
    </border>
    <border>
      <left style="thick">
        <color theme="0"/>
      </left>
      <right style="thin">
        <color auto="1"/>
      </right>
      <top style="thick">
        <color theme="0" tint="-4.9989318521683403E-2"/>
      </top>
      <bottom style="thick">
        <color theme="0" tint="-4.9989318521683403E-2"/>
      </bottom>
      <diagonal/>
    </border>
    <border>
      <left style="thick">
        <color theme="0" tint="-4.9989318521683403E-2"/>
      </left>
      <right style="thin">
        <color auto="1"/>
      </right>
      <top style="thin">
        <color auto="1"/>
      </top>
      <bottom style="thick">
        <color theme="0" tint="-4.9989318521683403E-2"/>
      </bottom>
      <diagonal/>
    </border>
    <border>
      <left style="thick">
        <color theme="0" tint="-4.9989318521683403E-2"/>
      </left>
      <right/>
      <top style="thin">
        <color auto="1"/>
      </top>
      <bottom style="thick">
        <color theme="0" tint="-4.9989318521683403E-2"/>
      </bottom>
      <diagonal/>
    </border>
    <border>
      <left/>
      <right style="thick">
        <color theme="0" tint="-4.9989318521683403E-2"/>
      </right>
      <top style="thick">
        <color theme="0" tint="-4.9989318521683403E-2"/>
      </top>
      <bottom/>
      <diagonal/>
    </border>
    <border>
      <left style="medium">
        <color auto="1"/>
      </left>
      <right/>
      <top/>
      <bottom style="thick">
        <color theme="0" tint="-4.9989318521683403E-2"/>
      </bottom>
      <diagonal/>
    </border>
    <border>
      <left/>
      <right/>
      <top/>
      <bottom style="thick">
        <color theme="0" tint="-4.9989318521683403E-2"/>
      </bottom>
      <diagonal/>
    </border>
    <border>
      <left/>
      <right style="thick">
        <color theme="0" tint="-4.9989318521683403E-2"/>
      </right>
      <top/>
      <bottom style="thick">
        <color theme="0" tint="-4.9989318521683403E-2"/>
      </bottom>
      <diagonal/>
    </border>
    <border>
      <left style="thick">
        <color theme="0" tint="-4.9989318521683403E-2"/>
      </left>
      <right style="thick">
        <color theme="0" tint="-4.9989318521683403E-2"/>
      </right>
      <top/>
      <bottom style="thick">
        <color theme="0" tint="-4.9989318521683403E-2"/>
      </bottom>
      <diagonal/>
    </border>
    <border>
      <left style="thick">
        <color theme="0" tint="-4.9989318521683403E-2"/>
      </left>
      <right style="thick">
        <color theme="0" tint="-4.9989318521683403E-2"/>
      </right>
      <top style="thick">
        <color theme="0" tint="-4.9989318521683403E-2"/>
      </top>
      <bottom/>
      <diagonal/>
    </border>
    <border>
      <left style="thick">
        <color theme="0" tint="-4.9989318521683403E-2"/>
      </left>
      <right style="thin">
        <color auto="1"/>
      </right>
      <top/>
      <bottom style="thin">
        <color auto="1"/>
      </bottom>
      <diagonal/>
    </border>
    <border>
      <left style="thin">
        <color auto="1"/>
      </left>
      <right style="thick">
        <color theme="0" tint="-4.9989318521683403E-2"/>
      </right>
      <top/>
      <bottom style="thin">
        <color auto="1"/>
      </bottom>
      <diagonal/>
    </border>
    <border>
      <left style="thick">
        <color theme="0" tint="-4.9989318521683403E-2"/>
      </left>
      <right style="thick">
        <color theme="0"/>
      </right>
      <top/>
      <bottom style="thick">
        <color theme="0" tint="-4.9989318521683403E-2"/>
      </bottom>
      <diagonal/>
    </border>
    <border>
      <left style="thick">
        <color theme="0"/>
      </left>
      <right style="thick">
        <color theme="0" tint="-4.9989318521683403E-2"/>
      </right>
      <top style="thick">
        <color theme="0" tint="-4.9989318521683403E-2"/>
      </top>
      <bottom style="thick">
        <color theme="0"/>
      </bottom>
      <diagonal/>
    </border>
    <border>
      <left style="thick">
        <color theme="0"/>
      </left>
      <right style="thick">
        <color theme="0" tint="-4.9989318521683403E-2"/>
      </right>
      <top style="thick">
        <color theme="0" tint="-4.9989318521683403E-2"/>
      </top>
      <bottom/>
      <diagonal/>
    </border>
    <border>
      <left style="thick">
        <color indexed="9"/>
      </left>
      <right style="thick">
        <color theme="0" tint="-4.9989318521683403E-2"/>
      </right>
      <top style="thick">
        <color theme="0" tint="-4.9989318521683403E-2"/>
      </top>
      <bottom style="thick">
        <color theme="0" tint="-4.9989318521683403E-2"/>
      </bottom>
      <diagonal/>
    </border>
    <border>
      <left style="thick">
        <color indexed="9"/>
      </left>
      <right style="thick">
        <color theme="0" tint="-4.9989318521683403E-2"/>
      </right>
      <top style="thick">
        <color theme="0" tint="-4.9989318521683403E-2"/>
      </top>
      <bottom style="thick">
        <color theme="0"/>
      </bottom>
      <diagonal/>
    </border>
    <border>
      <left style="thick">
        <color theme="0"/>
      </left>
      <right/>
      <top style="thick">
        <color theme="0" tint="-4.9989318521683403E-2"/>
      </top>
      <bottom style="thick">
        <color theme="0"/>
      </bottom>
      <diagonal/>
    </border>
    <border>
      <left style="thick">
        <color theme="0" tint="-4.9989318521683403E-2"/>
      </left>
      <right/>
      <top style="thick">
        <color theme="0" tint="-4.9989318521683403E-2"/>
      </top>
      <bottom style="thick">
        <color theme="0" tint="-4.9989318521683403E-2"/>
      </bottom>
      <diagonal/>
    </border>
    <border>
      <left style="thick">
        <color theme="0"/>
      </left>
      <right/>
      <top style="thick">
        <color theme="0" tint="-4.9989318521683403E-2"/>
      </top>
      <bottom/>
      <diagonal/>
    </border>
    <border>
      <left style="thick">
        <color theme="0" tint="-4.9989318521683403E-2"/>
      </left>
      <right style="thick">
        <color theme="0" tint="-4.9989318521683403E-2"/>
      </right>
      <top style="thin">
        <color auto="1"/>
      </top>
      <bottom/>
      <diagonal/>
    </border>
    <border>
      <left/>
      <right/>
      <top/>
      <bottom style="thick">
        <color rgb="FFFFFFFF"/>
      </bottom>
      <diagonal/>
    </border>
    <border>
      <left style="thick">
        <color rgb="FFFFFFFF"/>
      </left>
      <right/>
      <top style="thick">
        <color rgb="FFFFFFFF"/>
      </top>
      <bottom style="thick">
        <color rgb="FFFFFFFF"/>
      </bottom>
      <diagonal/>
    </border>
    <border>
      <left style="thick">
        <color rgb="FFFFFFFF"/>
      </left>
      <right/>
      <top/>
      <bottom style="thick">
        <color rgb="FFFFFFFF"/>
      </bottom>
      <diagonal/>
    </border>
    <border>
      <left/>
      <right style="thick">
        <color theme="0"/>
      </right>
      <top style="thick">
        <color indexed="9"/>
      </top>
      <bottom/>
      <diagonal/>
    </border>
    <border>
      <left style="thick">
        <color indexed="9"/>
      </left>
      <right/>
      <top/>
      <bottom/>
      <diagonal/>
    </border>
    <border>
      <left style="thick">
        <color theme="0" tint="-4.9989318521683403E-2"/>
      </left>
      <right style="thick">
        <color theme="0" tint="-4.9989318521683403E-2"/>
      </right>
      <top style="thick">
        <color theme="0"/>
      </top>
      <bottom style="thick">
        <color theme="0"/>
      </bottom>
      <diagonal/>
    </border>
    <border>
      <left style="thick">
        <color theme="0"/>
      </left>
      <right style="thick">
        <color theme="0"/>
      </right>
      <top style="thick">
        <color theme="0"/>
      </top>
      <bottom style="thick">
        <color theme="0" tint="-4.9989318521683403E-2"/>
      </bottom>
      <diagonal/>
    </border>
    <border>
      <left style="thick">
        <color rgb="FFFFFFFF"/>
      </left>
      <right/>
      <top style="thin">
        <color auto="1"/>
      </top>
      <bottom style="thick">
        <color theme="0"/>
      </bottom>
      <diagonal/>
    </border>
    <border>
      <left style="thick">
        <color indexed="9"/>
      </left>
      <right/>
      <top style="thick">
        <color indexed="9"/>
      </top>
      <bottom style="thick">
        <color indexed="9"/>
      </bottom>
      <diagonal/>
    </border>
    <border>
      <left style="thick">
        <color rgb="FFFFFFFF"/>
      </left>
      <right/>
      <top style="thick">
        <color rgb="FFFFFFFF"/>
      </top>
      <bottom/>
      <diagonal/>
    </border>
    <border>
      <left style="thick">
        <color theme="0"/>
      </left>
      <right style="thick">
        <color theme="0"/>
      </right>
      <top style="medium">
        <color theme="0"/>
      </top>
      <bottom style="thick">
        <color rgb="FFFFFFFF"/>
      </bottom>
      <diagonal/>
    </border>
    <border>
      <left style="thick">
        <color theme="0"/>
      </left>
      <right/>
      <top style="thick">
        <color theme="0"/>
      </top>
      <bottom style="thick">
        <color indexed="9"/>
      </bottom>
      <diagonal/>
    </border>
    <border>
      <left style="thick">
        <color theme="0"/>
      </left>
      <right style="thick">
        <color theme="0"/>
      </right>
      <top style="thick">
        <color rgb="FFFFFFFF"/>
      </top>
      <bottom style="thick">
        <color theme="0"/>
      </bottom>
      <diagonal/>
    </border>
    <border>
      <left style="thick">
        <color theme="0"/>
      </left>
      <right/>
      <top style="thick">
        <color theme="0"/>
      </top>
      <bottom style="thick">
        <color theme="0" tint="-4.9989318521683403E-2"/>
      </bottom>
      <diagonal/>
    </border>
    <border>
      <left style="thick">
        <color rgb="FFFFFFFF"/>
      </left>
      <right style="thick">
        <color theme="0"/>
      </right>
      <top style="thick">
        <color rgb="FFFFFFFF"/>
      </top>
      <bottom style="thick">
        <color rgb="FFFFFFFF"/>
      </bottom>
      <diagonal/>
    </border>
    <border>
      <left style="thick">
        <color rgb="FFFFFFFF"/>
      </left>
      <right style="thick">
        <color theme="0"/>
      </right>
      <top style="thick">
        <color theme="0"/>
      </top>
      <bottom style="thick">
        <color rgb="FFFFFFFF"/>
      </bottom>
      <diagonal/>
    </border>
    <border>
      <left style="thick">
        <color theme="0"/>
      </left>
      <right style="thick">
        <color theme="0"/>
      </right>
      <top style="thick">
        <color indexed="9"/>
      </top>
      <bottom style="thick">
        <color theme="0"/>
      </bottom>
      <diagonal/>
    </border>
    <border>
      <left style="thick">
        <color theme="0"/>
      </left>
      <right style="thick">
        <color theme="0"/>
      </right>
      <top style="thick">
        <color theme="0"/>
      </top>
      <bottom style="thick">
        <color rgb="FFFFFFFF"/>
      </bottom>
      <diagonal/>
    </border>
    <border>
      <left style="thick">
        <color theme="0"/>
      </left>
      <right style="thick">
        <color indexed="9"/>
      </right>
      <top style="thick">
        <color theme="0"/>
      </top>
      <bottom/>
      <diagonal/>
    </border>
    <border>
      <left style="thick">
        <color theme="0"/>
      </left>
      <right style="thick">
        <color indexed="9"/>
      </right>
      <top style="thick">
        <color theme="0"/>
      </top>
      <bottom style="thick">
        <color theme="0"/>
      </bottom>
      <diagonal/>
    </border>
    <border>
      <left style="thick">
        <color indexed="9"/>
      </left>
      <right style="thick">
        <color theme="0"/>
      </right>
      <top style="thick">
        <color indexed="9"/>
      </top>
      <bottom style="thick">
        <color theme="0"/>
      </bottom>
      <diagonal/>
    </border>
    <border>
      <left style="thick">
        <color rgb="FFFFFFFF"/>
      </left>
      <right style="thick">
        <color theme="0"/>
      </right>
      <top style="thick">
        <color theme="0"/>
      </top>
      <bottom/>
      <diagonal/>
    </border>
    <border>
      <left/>
      <right style="thick">
        <color theme="0"/>
      </right>
      <top style="thick">
        <color rgb="FFFFFFFF"/>
      </top>
      <bottom style="thick">
        <color rgb="FFFFFFFF"/>
      </bottom>
      <diagonal/>
    </border>
    <border>
      <left style="thick">
        <color theme="0" tint="-4.9989318521683403E-2"/>
      </left>
      <right style="thick">
        <color indexed="9"/>
      </right>
      <top style="thick">
        <color theme="0"/>
      </top>
      <bottom style="thick">
        <color theme="0"/>
      </bottom>
      <diagonal/>
    </border>
    <border>
      <left style="medium">
        <color theme="0"/>
      </left>
      <right style="medium">
        <color theme="0"/>
      </right>
      <top style="medium">
        <color theme="0"/>
      </top>
      <bottom style="medium">
        <color theme="0"/>
      </bottom>
      <diagonal/>
    </border>
    <border>
      <left/>
      <right style="thick">
        <color theme="0" tint="-4.9989318521683403E-2"/>
      </right>
      <top/>
      <bottom style="thick">
        <color theme="0"/>
      </bottom>
      <diagonal/>
    </border>
    <border>
      <left/>
      <right style="thick">
        <color theme="0" tint="-4.9989318521683403E-2"/>
      </right>
      <top/>
      <bottom/>
      <diagonal/>
    </border>
    <border>
      <left style="thick">
        <color rgb="FFFFFFFF"/>
      </left>
      <right style="thick">
        <color theme="0"/>
      </right>
      <top style="thick">
        <color rgb="FFFFFFFF"/>
      </top>
      <bottom style="thick">
        <color indexed="9"/>
      </bottom>
      <diagonal/>
    </border>
    <border>
      <left style="thick">
        <color theme="0"/>
      </left>
      <right style="thick">
        <color theme="0"/>
      </right>
      <top style="thick">
        <color theme="0" tint="-4.9989318521683403E-2"/>
      </top>
      <bottom style="thick">
        <color indexed="9"/>
      </bottom>
      <diagonal/>
    </border>
    <border>
      <left style="thick">
        <color rgb="FFFFFFFF"/>
      </left>
      <right style="thick">
        <color theme="0"/>
      </right>
      <top style="thick">
        <color rgb="FFFFFFFF"/>
      </top>
      <bottom style="thick">
        <color theme="0"/>
      </bottom>
      <diagonal/>
    </border>
    <border>
      <left style="thick">
        <color theme="0"/>
      </left>
      <right style="medium">
        <color theme="0"/>
      </right>
      <top style="medium">
        <color theme="0"/>
      </top>
      <bottom/>
      <diagonal/>
    </border>
    <border>
      <left style="medium">
        <color theme="0"/>
      </left>
      <right style="thick">
        <color rgb="FFFFFFFF"/>
      </right>
      <top style="thick">
        <color theme="0"/>
      </top>
      <bottom/>
      <diagonal/>
    </border>
  </borders>
  <cellStyleXfs count="52">
    <xf numFmtId="0" fontId="0" fillId="0" borderId="0"/>
    <xf numFmtId="9" fontId="1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348">
    <xf numFmtId="0" fontId="0" fillId="0" borderId="0" xfId="0"/>
    <xf numFmtId="0" fontId="0" fillId="0" borderId="0" xfId="0"/>
    <xf numFmtId="0" fontId="2" fillId="0" borderId="0" xfId="0" applyFont="1"/>
    <xf numFmtId="0" fontId="0" fillId="0" borderId="0" xfId="0" applyBorder="1"/>
    <xf numFmtId="0" fontId="7" fillId="0" borderId="0" xfId="0" applyFont="1"/>
    <xf numFmtId="0" fontId="9" fillId="0" borderId="0" xfId="0" applyFont="1"/>
    <xf numFmtId="0" fontId="9" fillId="0" borderId="0" xfId="0" applyFont="1" applyAlignment="1"/>
    <xf numFmtId="0" fontId="5" fillId="10" borderId="1" xfId="0" applyFont="1" applyFill="1" applyBorder="1" applyAlignment="1">
      <alignment vertical="center" wrapText="1"/>
    </xf>
    <xf numFmtId="0" fontId="5" fillId="10" borderId="16" xfId="0" applyFont="1" applyFill="1" applyBorder="1" applyAlignment="1">
      <alignment horizontal="center" vertical="center" wrapText="1"/>
    </xf>
    <xf numFmtId="0" fontId="4" fillId="12" borderId="16" xfId="0" applyFont="1" applyFill="1" applyBorder="1" applyAlignment="1">
      <alignment horizontal="center" vertical="center" wrapText="1"/>
    </xf>
    <xf numFmtId="0" fontId="0" fillId="0" borderId="0" xfId="0" applyAlignment="1">
      <alignment horizontal="justify"/>
    </xf>
    <xf numFmtId="0" fontId="0" fillId="0" borderId="0" xfId="0" applyAlignment="1">
      <alignment horizontal="left"/>
    </xf>
    <xf numFmtId="0" fontId="8" fillId="0" borderId="18" xfId="0" applyFont="1" applyBorder="1" applyAlignment="1">
      <alignment vertical="center"/>
    </xf>
    <xf numFmtId="0" fontId="8" fillId="0" borderId="0"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7" fillId="10" borderId="9" xfId="0" applyFont="1" applyFill="1" applyBorder="1" applyAlignment="1">
      <alignment vertical="center" wrapText="1"/>
    </xf>
    <xf numFmtId="0" fontId="7" fillId="10" borderId="16" xfId="0" applyFont="1" applyFill="1" applyBorder="1" applyAlignment="1">
      <alignment vertical="center" wrapText="1"/>
    </xf>
    <xf numFmtId="9" fontId="4" fillId="12" borderId="24" xfId="0" applyNumberFormat="1"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31" xfId="0" applyFont="1" applyFill="1" applyBorder="1" applyAlignment="1">
      <alignment horizontal="center" vertical="center" wrapText="1"/>
    </xf>
    <xf numFmtId="16" fontId="4" fillId="4" borderId="1" xfId="0" applyNumberFormat="1" applyFont="1" applyFill="1" applyBorder="1" applyAlignment="1">
      <alignment horizontal="center" vertical="center" wrapText="1"/>
    </xf>
    <xf numFmtId="16" fontId="4" fillId="4" borderId="4" xfId="0" applyNumberFormat="1" applyFont="1" applyFill="1" applyBorder="1" applyAlignment="1">
      <alignment horizontal="center" vertical="center" wrapText="1"/>
    </xf>
    <xf numFmtId="16" fontId="4" fillId="4" borderId="9" xfId="0" applyNumberFormat="1" applyFont="1" applyFill="1" applyBorder="1" applyAlignment="1">
      <alignment horizontal="center" vertical="center" wrapText="1"/>
    </xf>
    <xf numFmtId="3" fontId="4" fillId="12" borderId="16" xfId="0" applyNumberFormat="1" applyFont="1" applyFill="1" applyBorder="1" applyAlignment="1">
      <alignment horizontal="center" vertical="center" wrapText="1"/>
    </xf>
    <xf numFmtId="164" fontId="4" fillId="12" borderId="24" xfId="0" applyNumberFormat="1" applyFont="1" applyFill="1" applyBorder="1" applyAlignment="1">
      <alignment horizontal="center" vertical="center" wrapText="1"/>
    </xf>
    <xf numFmtId="3" fontId="0" fillId="0" borderId="0" xfId="0" applyNumberFormat="1"/>
    <xf numFmtId="10" fontId="4" fillId="12" borderId="24" xfId="1" applyNumberFormat="1" applyFont="1" applyFill="1" applyBorder="1" applyAlignment="1">
      <alignment horizontal="center" vertical="center" wrapText="1"/>
    </xf>
    <xf numFmtId="3" fontId="4" fillId="12" borderId="14" xfId="0" applyNumberFormat="1" applyFont="1" applyFill="1" applyBorder="1" applyAlignment="1">
      <alignment horizontal="center" vertical="center" wrapText="1"/>
    </xf>
    <xf numFmtId="0" fontId="0" fillId="0" borderId="0" xfId="0" applyFont="1" applyAlignment="1"/>
    <xf numFmtId="0" fontId="20" fillId="13" borderId="69" xfId="0" applyFont="1" applyFill="1" applyBorder="1" applyAlignment="1">
      <alignment horizontal="justify" vertical="center" wrapText="1"/>
    </xf>
    <xf numFmtId="0" fontId="20" fillId="16" borderId="21" xfId="0" applyFont="1" applyFill="1" applyBorder="1" applyAlignment="1">
      <alignment horizontal="justify" vertical="center" wrapText="1"/>
    </xf>
    <xf numFmtId="0" fontId="20" fillId="14" borderId="70" xfId="0" applyFont="1" applyFill="1" applyBorder="1" applyAlignment="1">
      <alignment horizontal="justify" vertical="center" wrapText="1"/>
    </xf>
    <xf numFmtId="0" fontId="20" fillId="16" borderId="22" xfId="0" applyFont="1" applyFill="1" applyBorder="1" applyAlignment="1">
      <alignment horizontal="justify" vertical="center" wrapText="1"/>
    </xf>
    <xf numFmtId="0" fontId="21" fillId="15" borderId="70" xfId="0" applyFont="1" applyFill="1" applyBorder="1" applyAlignment="1">
      <alignment horizontal="justify" vertical="center" wrapText="1"/>
    </xf>
    <xf numFmtId="0" fontId="22" fillId="0" borderId="0" xfId="0" applyFont="1" applyAlignment="1">
      <alignment vertical="center"/>
    </xf>
    <xf numFmtId="0" fontId="0" fillId="0" borderId="0" xfId="0" applyNumberFormat="1" applyFont="1" applyAlignment="1"/>
    <xf numFmtId="0" fontId="15" fillId="13" borderId="21" xfId="0" applyFont="1" applyFill="1" applyBorder="1" applyAlignment="1">
      <alignment vertical="center"/>
    </xf>
    <xf numFmtId="0" fontId="23" fillId="0" borderId="0" xfId="0" applyFont="1" applyAlignment="1">
      <alignment horizontal="justify" vertical="center" readingOrder="1"/>
    </xf>
    <xf numFmtId="0" fontId="15" fillId="14" borderId="22" xfId="0" applyFont="1" applyFill="1" applyBorder="1" applyAlignment="1">
      <alignment vertical="center"/>
    </xf>
    <xf numFmtId="0" fontId="15" fillId="15" borderId="22" xfId="0" applyFont="1" applyFill="1" applyBorder="1" applyAlignment="1">
      <alignment vertical="center"/>
    </xf>
    <xf numFmtId="0" fontId="24" fillId="14" borderId="16" xfId="0" applyFont="1" applyFill="1" applyBorder="1" applyAlignment="1">
      <alignment horizontal="center" vertical="center" wrapText="1"/>
    </xf>
    <xf numFmtId="0" fontId="24" fillId="13" borderId="69" xfId="0" applyFont="1" applyFill="1" applyBorder="1" applyAlignment="1">
      <alignment horizontal="center" vertical="center" wrapText="1"/>
    </xf>
    <xf numFmtId="0" fontId="19" fillId="2" borderId="1" xfId="0" applyFont="1" applyFill="1" applyBorder="1" applyAlignment="1">
      <alignment horizontal="center" vertical="center" wrapText="1"/>
    </xf>
    <xf numFmtId="9" fontId="19" fillId="2" borderId="2" xfId="0" applyNumberFormat="1" applyFont="1" applyFill="1" applyBorder="1" applyAlignment="1">
      <alignment horizontal="center" vertical="center" wrapText="1"/>
    </xf>
    <xf numFmtId="0" fontId="19" fillId="2" borderId="1" xfId="0" applyFont="1" applyFill="1" applyBorder="1" applyAlignment="1">
      <alignment horizontal="justify" vertical="top" wrapText="1"/>
    </xf>
    <xf numFmtId="0" fontId="19" fillId="2" borderId="1" xfId="0" applyFont="1" applyFill="1" applyBorder="1" applyAlignment="1">
      <alignment horizontal="justify" vertical="center" wrapText="1"/>
    </xf>
    <xf numFmtId="0" fontId="19" fillId="2" borderId="16" xfId="0" applyFont="1" applyFill="1" applyBorder="1" applyAlignment="1">
      <alignment horizontal="justify" vertical="center" wrapText="1"/>
    </xf>
    <xf numFmtId="0" fontId="24" fillId="15" borderId="75" xfId="0" applyFont="1" applyFill="1" applyBorder="1" applyAlignment="1">
      <alignment horizontal="center" vertical="center" wrapText="1"/>
    </xf>
    <xf numFmtId="0" fontId="19" fillId="7" borderId="2" xfId="0" applyFont="1" applyFill="1" applyBorder="1" applyAlignment="1">
      <alignment horizontal="left" vertical="center" wrapText="1"/>
    </xf>
    <xf numFmtId="0" fontId="19" fillId="7" borderId="15" xfId="0" applyFont="1" applyFill="1" applyBorder="1" applyAlignment="1">
      <alignment horizontal="center" vertical="center" wrapText="1"/>
    </xf>
    <xf numFmtId="166" fontId="19" fillId="7" borderId="25" xfId="0" applyNumberFormat="1" applyFont="1" applyFill="1" applyBorder="1" applyAlignment="1">
      <alignment horizontal="center" vertical="center" wrapText="1"/>
    </xf>
    <xf numFmtId="0" fontId="19" fillId="7" borderId="33" xfId="0" applyFont="1" applyFill="1" applyBorder="1" applyAlignment="1">
      <alignment horizontal="center" vertical="center" wrapText="1"/>
    </xf>
    <xf numFmtId="0" fontId="19" fillId="7" borderId="60" xfId="0" applyFont="1" applyFill="1" applyBorder="1" applyAlignment="1">
      <alignment horizontal="center" vertical="center" wrapText="1"/>
    </xf>
    <xf numFmtId="0" fontId="25" fillId="0" borderId="0" xfId="0" applyFont="1"/>
    <xf numFmtId="0" fontId="19" fillId="2" borderId="1" xfId="0" applyFont="1" applyFill="1" applyBorder="1" applyAlignment="1">
      <alignment horizontal="left"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left" vertical="top" wrapText="1"/>
    </xf>
    <xf numFmtId="9" fontId="19" fillId="2" borderId="25" xfId="0" applyNumberFormat="1" applyFont="1" applyFill="1" applyBorder="1" applyAlignment="1">
      <alignment horizontal="justify" vertical="center" wrapText="1"/>
    </xf>
    <xf numFmtId="166" fontId="19" fillId="2" borderId="25" xfId="0" applyNumberFormat="1" applyFont="1" applyFill="1" applyBorder="1" applyAlignment="1">
      <alignment horizontal="center" vertical="center" wrapText="1"/>
    </xf>
    <xf numFmtId="0" fontId="19" fillId="2" borderId="25" xfId="0" applyFont="1" applyFill="1" applyBorder="1" applyAlignment="1">
      <alignment horizontal="justify" vertical="top" wrapText="1"/>
    </xf>
    <xf numFmtId="164" fontId="19" fillId="2" borderId="25" xfId="1" applyNumberFormat="1" applyFont="1" applyFill="1" applyBorder="1" applyAlignment="1">
      <alignment horizontal="center" vertical="center" wrapText="1"/>
    </xf>
    <xf numFmtId="0" fontId="19" fillId="2" borderId="2" xfId="0" applyFont="1" applyFill="1" applyBorder="1" applyAlignment="1">
      <alignment horizontal="justify" vertical="top" wrapText="1"/>
    </xf>
    <xf numFmtId="0" fontId="19" fillId="2" borderId="25" xfId="0" applyFont="1" applyFill="1" applyBorder="1" applyAlignment="1">
      <alignment horizontal="center" vertical="center" wrapText="1"/>
    </xf>
    <xf numFmtId="0" fontId="19" fillId="2" borderId="25" xfId="0" applyFont="1" applyFill="1" applyBorder="1" applyAlignment="1">
      <alignment horizontal="justify" vertical="center" wrapText="1"/>
    </xf>
    <xf numFmtId="3" fontId="25" fillId="2" borderId="2" xfId="0" applyNumberFormat="1" applyFont="1" applyFill="1" applyBorder="1" applyAlignment="1">
      <alignment horizontal="center" vertical="center" wrapText="1"/>
    </xf>
    <xf numFmtId="3" fontId="19" fillId="7" borderId="2" xfId="0" applyNumberFormat="1" applyFont="1" applyFill="1" applyBorder="1" applyAlignment="1">
      <alignment horizontal="center" vertical="center" wrapText="1"/>
    </xf>
    <xf numFmtId="0" fontId="19" fillId="7" borderId="25" xfId="0" applyFont="1" applyFill="1" applyBorder="1" applyAlignment="1">
      <alignment horizontal="justify" vertical="center" wrapText="1"/>
    </xf>
    <xf numFmtId="9" fontId="19" fillId="7" borderId="2" xfId="0" applyNumberFormat="1" applyFont="1" applyFill="1" applyBorder="1" applyAlignment="1">
      <alignment horizontal="justify" vertical="center" wrapText="1"/>
    </xf>
    <xf numFmtId="0" fontId="19" fillId="2" borderId="28"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25" fillId="0" borderId="0" xfId="0" applyFont="1" applyBorder="1"/>
    <xf numFmtId="3" fontId="19" fillId="2" borderId="2" xfId="0" applyNumberFormat="1" applyFont="1" applyFill="1" applyBorder="1" applyAlignment="1">
      <alignment horizontal="center" vertical="center" wrapText="1"/>
    </xf>
    <xf numFmtId="0" fontId="19" fillId="2" borderId="2" xfId="0" applyFont="1" applyFill="1" applyBorder="1" applyAlignment="1">
      <alignment horizontal="justify" vertical="center" wrapText="1"/>
    </xf>
    <xf numFmtId="0" fontId="19" fillId="2" borderId="2" xfId="0" applyFont="1" applyFill="1" applyBorder="1" applyAlignment="1">
      <alignment horizontal="left" vertical="center" wrapText="1"/>
    </xf>
    <xf numFmtId="9" fontId="19" fillId="2" borderId="24" xfId="1"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7" xfId="0" applyFont="1" applyFill="1" applyBorder="1" applyAlignment="1">
      <alignment horizontal="left" vertical="center" wrapText="1"/>
    </xf>
    <xf numFmtId="9" fontId="19" fillId="2" borderId="26" xfId="0" applyNumberFormat="1" applyFont="1" applyFill="1" applyBorder="1" applyAlignment="1">
      <alignment horizontal="justify" vertical="center" wrapText="1"/>
    </xf>
    <xf numFmtId="165" fontId="19" fillId="2" borderId="27" xfId="0" applyNumberFormat="1" applyFont="1" applyFill="1" applyBorder="1" applyAlignment="1">
      <alignment horizontal="center" vertical="center" wrapText="1"/>
    </xf>
    <xf numFmtId="0" fontId="19" fillId="2" borderId="62" xfId="0" applyFont="1" applyFill="1" applyBorder="1" applyAlignment="1">
      <alignment horizontal="justify" vertical="center" wrapText="1"/>
    </xf>
    <xf numFmtId="164" fontId="19" fillId="2" borderId="31" xfId="0" applyNumberFormat="1" applyFont="1" applyFill="1" applyBorder="1" applyAlignment="1">
      <alignment horizontal="center" vertical="center" wrapText="1"/>
    </xf>
    <xf numFmtId="164" fontId="19" fillId="2" borderId="65" xfId="0" applyNumberFormat="1" applyFont="1" applyFill="1" applyBorder="1" applyAlignment="1">
      <alignment horizontal="center" vertical="center" wrapText="1"/>
    </xf>
    <xf numFmtId="0" fontId="19" fillId="2" borderId="12" xfId="0" applyFont="1" applyFill="1" applyBorder="1" applyAlignment="1">
      <alignment horizontal="left" vertical="center" wrapText="1"/>
    </xf>
    <xf numFmtId="1" fontId="19" fillId="2" borderId="15" xfId="0" applyNumberFormat="1" applyFont="1" applyFill="1" applyBorder="1" applyAlignment="1">
      <alignment horizontal="center" vertical="center" wrapText="1"/>
    </xf>
    <xf numFmtId="0" fontId="19" fillId="2" borderId="63" xfId="0" applyFont="1" applyFill="1" applyBorder="1" applyAlignment="1">
      <alignment horizontal="justify" vertical="center" wrapText="1"/>
    </xf>
    <xf numFmtId="9" fontId="19" fillId="2" borderId="16" xfId="1" applyFont="1" applyFill="1" applyBorder="1" applyAlignment="1">
      <alignment horizontal="center" vertical="center" wrapText="1"/>
    </xf>
    <xf numFmtId="166" fontId="19" fillId="7" borderId="1" xfId="0" applyNumberFormat="1" applyFont="1" applyFill="1" applyBorder="1" applyAlignment="1">
      <alignment horizontal="center" vertical="center" wrapText="1"/>
    </xf>
    <xf numFmtId="0" fontId="19" fillId="7" borderId="31" xfId="0" applyFont="1" applyFill="1" applyBorder="1" applyAlignment="1">
      <alignment horizontal="center" vertical="center" wrapText="1"/>
    </xf>
    <xf numFmtId="166" fontId="19" fillId="2" borderId="2" xfId="0" applyNumberFormat="1" applyFont="1" applyFill="1" applyBorder="1" applyAlignment="1">
      <alignment horizontal="center" vertical="center" wrapText="1"/>
    </xf>
    <xf numFmtId="0" fontId="19" fillId="2" borderId="32" xfId="0" applyFont="1" applyFill="1" applyBorder="1" applyAlignment="1">
      <alignment horizontal="center" vertical="center" wrapText="1"/>
    </xf>
    <xf numFmtId="165" fontId="19" fillId="2" borderId="25" xfId="0" applyNumberFormat="1" applyFont="1" applyFill="1" applyBorder="1" applyAlignment="1">
      <alignment horizontal="center" vertical="center" wrapText="1"/>
    </xf>
    <xf numFmtId="3" fontId="25" fillId="2" borderId="73" xfId="0" applyNumberFormat="1" applyFont="1" applyFill="1" applyBorder="1" applyAlignment="1">
      <alignment horizontal="center" vertical="center" wrapText="1"/>
    </xf>
    <xf numFmtId="0" fontId="19" fillId="9" borderId="2" xfId="0" applyFont="1" applyFill="1" applyBorder="1" applyAlignment="1">
      <alignment horizontal="left" vertical="center" wrapText="1"/>
    </xf>
    <xf numFmtId="0" fontId="19" fillId="9" borderId="2" xfId="0" applyFont="1" applyFill="1" applyBorder="1" applyAlignment="1">
      <alignment horizontal="center" vertical="center" wrapText="1"/>
    </xf>
    <xf numFmtId="3" fontId="19" fillId="2" borderId="2" xfId="1" applyNumberFormat="1" applyFont="1" applyFill="1" applyBorder="1" applyAlignment="1">
      <alignment horizontal="center" vertical="center" wrapText="1"/>
    </xf>
    <xf numFmtId="9" fontId="19" fillId="2" borderId="15" xfId="0" applyNumberFormat="1" applyFont="1" applyFill="1" applyBorder="1" applyAlignment="1">
      <alignment horizontal="center" vertical="center" wrapText="1"/>
    </xf>
    <xf numFmtId="9" fontId="19" fillId="2" borderId="72" xfId="0" applyNumberFormat="1" applyFont="1" applyFill="1" applyBorder="1" applyAlignment="1">
      <alignment horizontal="justify" vertical="center" wrapText="1"/>
    </xf>
    <xf numFmtId="165" fontId="19" fillId="2" borderId="7" xfId="0" applyNumberFormat="1" applyFont="1" applyFill="1" applyBorder="1" applyAlignment="1">
      <alignment horizontal="center" vertical="center" wrapText="1"/>
    </xf>
    <xf numFmtId="0" fontId="19" fillId="2" borderId="7" xfId="0" applyFont="1" applyFill="1" applyBorder="1" applyAlignment="1">
      <alignment horizontal="center" vertical="center" wrapText="1"/>
    </xf>
    <xf numFmtId="2" fontId="19" fillId="7" borderId="1" xfId="0" applyNumberFormat="1" applyFont="1" applyFill="1" applyBorder="1" applyAlignment="1">
      <alignment horizontal="justify" vertical="center" wrapText="1"/>
    </xf>
    <xf numFmtId="166" fontId="19" fillId="2" borderId="1" xfId="0" applyNumberFormat="1" applyFont="1" applyFill="1" applyBorder="1" applyAlignment="1">
      <alignment horizontal="center" vertical="center" wrapText="1"/>
    </xf>
    <xf numFmtId="1" fontId="19" fillId="2" borderId="1" xfId="0" applyNumberFormat="1" applyFont="1" applyFill="1" applyBorder="1" applyAlignment="1">
      <alignment horizontal="center" vertical="center" wrapText="1"/>
    </xf>
    <xf numFmtId="0" fontId="19" fillId="2" borderId="23" xfId="0" applyFont="1" applyFill="1" applyBorder="1" applyAlignment="1">
      <alignment horizontal="justify" vertical="top" wrapText="1"/>
    </xf>
    <xf numFmtId="0" fontId="19" fillId="9" borderId="10" xfId="0" applyFont="1" applyFill="1" applyBorder="1" applyAlignment="1">
      <alignment horizontal="justify" vertical="top" wrapText="1"/>
    </xf>
    <xf numFmtId="0" fontId="1" fillId="15" borderId="70" xfId="0" applyFont="1" applyFill="1" applyBorder="1" applyAlignment="1">
      <alignment horizontal="center" vertical="center" wrapText="1"/>
    </xf>
    <xf numFmtId="0" fontId="24" fillId="13" borderId="77" xfId="0" applyFont="1" applyFill="1" applyBorder="1" applyAlignment="1">
      <alignment horizontal="center" vertical="center" wrapText="1"/>
    </xf>
    <xf numFmtId="0" fontId="24" fillId="14" borderId="78" xfId="0" applyFont="1" applyFill="1" applyBorder="1" applyAlignment="1">
      <alignment horizontal="center" vertical="center" wrapText="1"/>
    </xf>
    <xf numFmtId="0" fontId="24" fillId="13" borderId="80" xfId="0" applyFont="1" applyFill="1" applyBorder="1" applyAlignment="1">
      <alignment horizontal="center" vertical="center" wrapText="1"/>
    </xf>
    <xf numFmtId="164" fontId="19" fillId="2" borderId="33" xfId="0" applyNumberFormat="1" applyFont="1" applyFill="1" applyBorder="1" applyAlignment="1">
      <alignment horizontal="center" vertical="center" wrapText="1"/>
    </xf>
    <xf numFmtId="164" fontId="19" fillId="2" borderId="9" xfId="0" applyNumberFormat="1" applyFont="1" applyFill="1" applyBorder="1" applyAlignment="1">
      <alignment horizontal="center" vertical="center" wrapText="1"/>
    </xf>
    <xf numFmtId="0" fontId="1" fillId="13" borderId="77" xfId="0" applyFont="1" applyFill="1" applyBorder="1" applyAlignment="1">
      <alignment horizontal="center" vertical="center" wrapText="1"/>
    </xf>
    <xf numFmtId="0" fontId="24" fillId="13" borderId="82" xfId="0" applyFont="1" applyFill="1" applyBorder="1" applyAlignment="1">
      <alignment horizontal="center" vertical="center" wrapText="1"/>
    </xf>
    <xf numFmtId="4" fontId="19" fillId="2" borderId="16" xfId="0" applyNumberFormat="1" applyFont="1" applyFill="1" applyBorder="1" applyAlignment="1">
      <alignment horizontal="center" vertical="center" wrapText="1"/>
    </xf>
    <xf numFmtId="0" fontId="24" fillId="13" borderId="83" xfId="0" applyFont="1" applyFill="1" applyBorder="1" applyAlignment="1">
      <alignment horizontal="center" vertical="center" wrapText="1"/>
    </xf>
    <xf numFmtId="0" fontId="1" fillId="15" borderId="80" xfId="0" applyFont="1" applyFill="1" applyBorder="1" applyAlignment="1">
      <alignment horizontal="center" vertical="center" wrapText="1"/>
    </xf>
    <xf numFmtId="166" fontId="19" fillId="2" borderId="84" xfId="0" applyNumberFormat="1" applyFont="1" applyFill="1" applyBorder="1" applyAlignment="1">
      <alignment horizontal="center" vertical="center" wrapText="1"/>
    </xf>
    <xf numFmtId="0" fontId="24" fillId="15" borderId="85" xfId="0" applyFont="1" applyFill="1" applyBorder="1" applyAlignment="1">
      <alignment horizontal="center" vertical="center" wrapText="1"/>
    </xf>
    <xf numFmtId="9" fontId="19" fillId="2" borderId="33" xfId="1" applyFont="1" applyFill="1" applyBorder="1" applyAlignment="1">
      <alignment horizontal="center" vertical="center" wrapText="1"/>
    </xf>
    <xf numFmtId="166" fontId="19" fillId="2" borderId="66" xfId="0" applyNumberFormat="1" applyFont="1" applyFill="1" applyBorder="1" applyAlignment="1">
      <alignment horizontal="center" vertical="center" wrapText="1"/>
    </xf>
    <xf numFmtId="0" fontId="19" fillId="2" borderId="16" xfId="0" applyFont="1" applyFill="1" applyBorder="1" applyAlignment="1">
      <alignment horizontal="justify" vertical="top" wrapText="1"/>
    </xf>
    <xf numFmtId="0" fontId="19" fillId="2" borderId="87" xfId="0" applyFont="1" applyFill="1" applyBorder="1" applyAlignment="1">
      <alignment horizontal="justify" vertical="top" wrapText="1"/>
    </xf>
    <xf numFmtId="164" fontId="19" fillId="2" borderId="16" xfId="0" applyNumberFormat="1" applyFont="1" applyFill="1" applyBorder="1" applyAlignment="1">
      <alignment horizontal="center" vertical="center" wrapText="1"/>
    </xf>
    <xf numFmtId="164" fontId="19" fillId="2" borderId="16" xfId="1" applyNumberFormat="1" applyFont="1" applyFill="1" applyBorder="1" applyAlignment="1">
      <alignment horizontal="center" vertical="center" wrapText="1"/>
    </xf>
    <xf numFmtId="164" fontId="19" fillId="2" borderId="88" xfId="1" applyNumberFormat="1" applyFont="1" applyFill="1" applyBorder="1" applyAlignment="1">
      <alignment horizontal="center" vertical="center" wrapText="1"/>
    </xf>
    <xf numFmtId="3" fontId="19" fillId="2" borderId="16" xfId="0" applyNumberFormat="1" applyFont="1" applyFill="1" applyBorder="1" applyAlignment="1">
      <alignment horizontal="center" vertical="center" wrapText="1"/>
    </xf>
    <xf numFmtId="0" fontId="24" fillId="13" borderId="16" xfId="0" applyFont="1" applyFill="1" applyBorder="1" applyAlignment="1">
      <alignment horizontal="center" vertical="center" wrapText="1"/>
    </xf>
    <xf numFmtId="0" fontId="0" fillId="0" borderId="10" xfId="0" applyBorder="1"/>
    <xf numFmtId="0" fontId="24" fillId="13" borderId="89" xfId="0" applyFont="1" applyFill="1" applyBorder="1" applyAlignment="1">
      <alignment horizontal="center" vertical="center" wrapText="1"/>
    </xf>
    <xf numFmtId="1" fontId="19" fillId="2" borderId="29" xfId="0" applyNumberFormat="1" applyFont="1" applyFill="1" applyBorder="1" applyAlignment="1">
      <alignment horizontal="center" vertical="center" wrapText="1"/>
    </xf>
    <xf numFmtId="0" fontId="24" fillId="13" borderId="90" xfId="0" applyFont="1" applyFill="1" applyBorder="1" applyAlignment="1">
      <alignment horizontal="center" vertical="center" wrapText="1"/>
    </xf>
    <xf numFmtId="164" fontId="19" fillId="7" borderId="33" xfId="1" applyNumberFormat="1" applyFont="1" applyFill="1" applyBorder="1" applyAlignment="1">
      <alignment horizontal="center" vertical="center" wrapText="1"/>
    </xf>
    <xf numFmtId="164" fontId="19" fillId="2" borderId="2" xfId="1" applyNumberFormat="1" applyFont="1" applyFill="1" applyBorder="1" applyAlignment="1">
      <alignment horizontal="center" vertical="center" wrapText="1"/>
    </xf>
    <xf numFmtId="164" fontId="19" fillId="7" borderId="64" xfId="1" applyNumberFormat="1" applyFont="1" applyFill="1" applyBorder="1" applyAlignment="1">
      <alignment horizontal="center" vertical="center" wrapText="1"/>
    </xf>
    <xf numFmtId="164" fontId="19" fillId="2" borderId="2" xfId="0" applyNumberFormat="1" applyFont="1" applyFill="1" applyBorder="1" applyAlignment="1">
      <alignment horizontal="center" vertical="center" wrapText="1"/>
    </xf>
    <xf numFmtId="164" fontId="19" fillId="7" borderId="15" xfId="1" applyNumberFormat="1" applyFont="1" applyFill="1" applyBorder="1" applyAlignment="1">
      <alignment horizontal="center" vertical="center" wrapText="1"/>
    </xf>
    <xf numFmtId="164" fontId="19" fillId="2" borderId="76" xfId="0" applyNumberFormat="1" applyFont="1" applyFill="1" applyBorder="1" applyAlignment="1">
      <alignment horizontal="center" vertical="center" wrapText="1"/>
    </xf>
    <xf numFmtId="164" fontId="19" fillId="2" borderId="24" xfId="1" applyNumberFormat="1" applyFont="1" applyFill="1" applyBorder="1" applyAlignment="1">
      <alignment horizontal="center" vertical="center" wrapText="1"/>
    </xf>
    <xf numFmtId="164" fontId="19" fillId="9" borderId="16" xfId="1" applyNumberFormat="1" applyFont="1" applyFill="1" applyBorder="1" applyAlignment="1">
      <alignment horizontal="center" vertical="center" wrapText="1"/>
    </xf>
    <xf numFmtId="164" fontId="19" fillId="2" borderId="74" xfId="0" applyNumberFormat="1" applyFont="1" applyFill="1" applyBorder="1" applyAlignment="1">
      <alignment horizontal="center" vertical="center" wrapText="1"/>
    </xf>
    <xf numFmtId="164" fontId="19" fillId="7" borderId="66" xfId="1" applyNumberFormat="1" applyFont="1" applyFill="1" applyBorder="1" applyAlignment="1">
      <alignment horizontal="center" vertical="center" wrapText="1"/>
    </xf>
    <xf numFmtId="164" fontId="25" fillId="2" borderId="2" xfId="1" applyNumberFormat="1" applyFont="1" applyFill="1" applyBorder="1" applyAlignment="1">
      <alignment horizontal="center" vertical="center" wrapText="1"/>
    </xf>
    <xf numFmtId="164" fontId="25" fillId="2" borderId="16" xfId="1" applyNumberFormat="1" applyFont="1" applyFill="1" applyBorder="1" applyAlignment="1">
      <alignment horizontal="center" vertical="center" wrapText="1"/>
    </xf>
    <xf numFmtId="164" fontId="19" fillId="2" borderId="29" xfId="1" applyNumberFormat="1" applyFont="1" applyFill="1" applyBorder="1" applyAlignment="1">
      <alignment horizontal="center" vertical="center" wrapText="1"/>
    </xf>
    <xf numFmtId="164" fontId="19" fillId="2" borderId="34" xfId="1" applyNumberFormat="1" applyFont="1" applyFill="1" applyBorder="1" applyAlignment="1">
      <alignment horizontal="center" vertical="center" wrapText="1"/>
    </xf>
    <xf numFmtId="164" fontId="19" fillId="2" borderId="1" xfId="1" applyNumberFormat="1" applyFont="1" applyFill="1" applyBorder="1" applyAlignment="1">
      <alignment horizontal="center" vertical="center" wrapText="1"/>
    </xf>
    <xf numFmtId="164" fontId="19" fillId="2" borderId="29" xfId="0" applyNumberFormat="1" applyFont="1" applyFill="1" applyBorder="1" applyAlignment="1">
      <alignment horizontal="center" vertical="center" wrapText="1"/>
    </xf>
    <xf numFmtId="1" fontId="19" fillId="7" borderId="2" xfId="0" applyNumberFormat="1" applyFont="1" applyFill="1" applyBorder="1" applyAlignment="1">
      <alignment horizontal="center" vertical="center" wrapText="1"/>
    </xf>
    <xf numFmtId="1" fontId="25" fillId="2" borderId="2" xfId="0" applyNumberFormat="1" applyFont="1" applyFill="1" applyBorder="1" applyAlignment="1">
      <alignment horizontal="center" vertical="center" wrapText="1"/>
    </xf>
    <xf numFmtId="164" fontId="19" fillId="2" borderId="72" xfId="1" applyNumberFormat="1" applyFont="1" applyFill="1" applyBorder="1" applyAlignment="1">
      <alignment horizontal="center" vertical="center" wrapText="1"/>
    </xf>
    <xf numFmtId="9" fontId="19" fillId="2" borderId="91" xfId="1" applyFont="1" applyFill="1" applyBorder="1" applyAlignment="1">
      <alignment horizontal="center" vertical="center" wrapText="1"/>
    </xf>
    <xf numFmtId="0" fontId="20" fillId="15" borderId="70" xfId="0" applyFont="1" applyFill="1" applyBorder="1" applyAlignment="1">
      <alignment horizontal="center" vertical="center" wrapText="1"/>
    </xf>
    <xf numFmtId="0" fontId="20" fillId="13" borderId="69" xfId="0" applyFont="1" applyFill="1" applyBorder="1" applyAlignment="1">
      <alignment horizontal="center" vertical="center" wrapText="1"/>
    </xf>
    <xf numFmtId="164" fontId="19" fillId="12" borderId="2" xfId="1" applyNumberFormat="1" applyFont="1" applyFill="1" applyBorder="1" applyAlignment="1">
      <alignment horizontal="center" vertical="center" wrapText="1"/>
    </xf>
    <xf numFmtId="165" fontId="19" fillId="9" borderId="1" xfId="0" applyNumberFormat="1" applyFont="1" applyFill="1" applyBorder="1" applyAlignment="1">
      <alignment horizontal="center" vertical="center" wrapText="1"/>
    </xf>
    <xf numFmtId="166" fontId="19" fillId="7" borderId="2" xfId="0" applyNumberFormat="1" applyFont="1" applyFill="1" applyBorder="1" applyAlignment="1">
      <alignment horizontal="center" vertical="center" wrapText="1"/>
    </xf>
    <xf numFmtId="165" fontId="19" fillId="2" borderId="1" xfId="0" applyNumberFormat="1" applyFont="1" applyFill="1" applyBorder="1" applyAlignment="1">
      <alignment horizontal="center" vertical="center" wrapText="1"/>
    </xf>
    <xf numFmtId="166" fontId="19" fillId="2" borderId="86" xfId="0" applyNumberFormat="1" applyFont="1" applyFill="1" applyBorder="1" applyAlignment="1">
      <alignment horizontal="center" vertical="center" wrapText="1"/>
    </xf>
    <xf numFmtId="3" fontId="19" fillId="9" borderId="16" xfId="0" applyNumberFormat="1" applyFont="1" applyFill="1" applyBorder="1" applyAlignment="1">
      <alignment horizontal="center" vertical="center" wrapText="1"/>
    </xf>
    <xf numFmtId="164" fontId="25" fillId="9" borderId="16" xfId="1" applyNumberFormat="1" applyFont="1" applyFill="1" applyBorder="1" applyAlignment="1">
      <alignment horizontal="center" vertical="center" wrapText="1"/>
    </xf>
    <xf numFmtId="164" fontId="19" fillId="7" borderId="34" xfId="1" applyNumberFormat="1" applyFont="1" applyFill="1" applyBorder="1" applyAlignment="1">
      <alignment horizontal="center" vertical="center" wrapText="1"/>
    </xf>
    <xf numFmtId="3" fontId="25" fillId="7" borderId="73" xfId="0" applyNumberFormat="1" applyFont="1" applyFill="1" applyBorder="1" applyAlignment="1">
      <alignment horizontal="center" vertical="center" wrapText="1"/>
    </xf>
    <xf numFmtId="164" fontId="25" fillId="7" borderId="16" xfId="1" applyNumberFormat="1" applyFont="1" applyFill="1" applyBorder="1" applyAlignment="1">
      <alignment horizontal="center" vertical="center" wrapText="1"/>
    </xf>
    <xf numFmtId="164" fontId="19" fillId="7" borderId="2" xfId="1" applyNumberFormat="1" applyFont="1" applyFill="1" applyBorder="1" applyAlignment="1">
      <alignment horizontal="center" vertical="center" wrapText="1"/>
    </xf>
    <xf numFmtId="1" fontId="25" fillId="7" borderId="2" xfId="0" applyNumberFormat="1" applyFont="1" applyFill="1" applyBorder="1" applyAlignment="1">
      <alignment horizontal="center" vertical="center" wrapText="1"/>
    </xf>
    <xf numFmtId="164" fontId="25" fillId="7" borderId="2" xfId="1" applyNumberFormat="1" applyFont="1" applyFill="1" applyBorder="1" applyAlignment="1">
      <alignment horizontal="center" vertical="center" wrapText="1"/>
    </xf>
    <xf numFmtId="3" fontId="19" fillId="9" borderId="1" xfId="0" applyNumberFormat="1" applyFont="1" applyFill="1" applyBorder="1" applyAlignment="1">
      <alignment horizontal="center" vertical="center" wrapText="1"/>
    </xf>
    <xf numFmtId="0" fontId="19" fillId="7" borderId="1" xfId="0" applyFont="1" applyFill="1" applyBorder="1" applyAlignment="1">
      <alignment horizontal="justify" vertical="center" wrapText="1"/>
    </xf>
    <xf numFmtId="0" fontId="19" fillId="7" borderId="4" xfId="0" applyFont="1" applyFill="1" applyBorder="1" applyAlignment="1">
      <alignment horizontal="justify" vertical="center" wrapText="1"/>
    </xf>
    <xf numFmtId="0" fontId="19" fillId="7" borderId="2" xfId="0" applyFont="1" applyFill="1" applyBorder="1" applyAlignment="1">
      <alignment horizontal="center" vertical="center" wrapText="1"/>
    </xf>
    <xf numFmtId="0" fontId="19" fillId="7" borderId="1" xfId="0" applyFont="1" applyFill="1" applyBorder="1" applyAlignment="1">
      <alignment horizontal="center" vertical="center" wrapText="1"/>
    </xf>
    <xf numFmtId="164" fontId="4" fillId="12" borderId="24" xfId="1" applyNumberFormat="1" applyFont="1" applyFill="1" applyBorder="1" applyAlignment="1">
      <alignment horizontal="center" vertical="center" wrapText="1"/>
    </xf>
    <xf numFmtId="0" fontId="0" fillId="0" borderId="15" xfId="0" applyBorder="1"/>
    <xf numFmtId="0" fontId="2" fillId="0" borderId="15" xfId="0" applyFont="1" applyBorder="1"/>
    <xf numFmtId="9" fontId="19" fillId="7" borderId="33" xfId="0" applyNumberFormat="1" applyFont="1" applyFill="1" applyBorder="1" applyAlignment="1">
      <alignment horizontal="justify" vertical="top" wrapText="1"/>
    </xf>
    <xf numFmtId="9" fontId="25" fillId="2" borderId="2" xfId="1" applyFont="1" applyFill="1" applyBorder="1" applyAlignment="1">
      <alignment horizontal="justify" vertical="top" wrapText="1"/>
    </xf>
    <xf numFmtId="9" fontId="19" fillId="7" borderId="2" xfId="0" applyNumberFormat="1" applyFont="1" applyFill="1" applyBorder="1" applyAlignment="1">
      <alignment horizontal="justify" vertical="top" wrapText="1"/>
    </xf>
    <xf numFmtId="0" fontId="19" fillId="2" borderId="2" xfId="0" applyFont="1" applyFill="1" applyBorder="1" applyAlignment="1">
      <alignment horizontal="left" vertical="top" wrapText="1"/>
    </xf>
    <xf numFmtId="9" fontId="25" fillId="2" borderId="16" xfId="1" applyFont="1" applyFill="1" applyBorder="1" applyAlignment="1">
      <alignment horizontal="justify" vertical="top" wrapText="1"/>
    </xf>
    <xf numFmtId="0" fontId="19" fillId="2" borderId="7" xfId="0" applyFont="1" applyFill="1" applyBorder="1" applyAlignment="1">
      <alignment horizontal="justify" vertical="top" wrapText="1"/>
    </xf>
    <xf numFmtId="9" fontId="19" fillId="7" borderId="23" xfId="0" applyNumberFormat="1" applyFont="1" applyFill="1" applyBorder="1" applyAlignment="1">
      <alignment horizontal="justify" vertical="top" wrapText="1"/>
    </xf>
    <xf numFmtId="0" fontId="19" fillId="7" borderId="33" xfId="0" applyFont="1" applyFill="1" applyBorder="1" applyAlignment="1">
      <alignment horizontal="justify" vertical="center" wrapText="1"/>
    </xf>
    <xf numFmtId="0" fontId="19" fillId="7" borderId="1" xfId="0" applyFont="1" applyFill="1" applyBorder="1" applyAlignment="1">
      <alignment horizontal="justify" vertical="top" wrapText="1"/>
    </xf>
    <xf numFmtId="0" fontId="19" fillId="9" borderId="71" xfId="0" applyFont="1" applyFill="1" applyBorder="1" applyAlignment="1">
      <alignment horizontal="justify" vertical="center" wrapText="1"/>
    </xf>
    <xf numFmtId="0" fontId="25" fillId="0" borderId="15" xfId="0" applyFont="1" applyBorder="1"/>
    <xf numFmtId="0" fontId="25" fillId="0" borderId="11" xfId="0" applyFont="1" applyBorder="1"/>
    <xf numFmtId="0" fontId="19" fillId="7" borderId="16" xfId="0" applyFont="1" applyFill="1" applyBorder="1" applyAlignment="1">
      <alignment horizontal="center" vertical="center" wrapText="1"/>
    </xf>
    <xf numFmtId="0" fontId="19" fillId="7" borderId="85" xfId="0" applyFont="1" applyFill="1" applyBorder="1" applyAlignment="1">
      <alignment horizontal="center" vertical="center" wrapText="1"/>
    </xf>
    <xf numFmtId="0" fontId="19" fillId="17" borderId="95" xfId="0" applyFont="1" applyFill="1" applyBorder="1" applyAlignment="1">
      <alignment horizontal="center" vertical="center" wrapText="1"/>
    </xf>
    <xf numFmtId="0" fontId="19" fillId="2" borderId="88" xfId="0" applyFont="1" applyFill="1" applyBorder="1" applyAlignment="1">
      <alignment horizontal="center" vertical="center" wrapText="1"/>
    </xf>
    <xf numFmtId="0" fontId="19" fillId="2" borderId="96" xfId="0" applyFont="1" applyFill="1" applyBorder="1" applyAlignment="1">
      <alignment horizontal="center" vertical="center" wrapText="1"/>
    </xf>
    <xf numFmtId="0" fontId="0" fillId="0" borderId="4" xfId="0" applyBorder="1"/>
    <xf numFmtId="0" fontId="25" fillId="0" borderId="4" xfId="0" applyFont="1" applyBorder="1"/>
    <xf numFmtId="0" fontId="19" fillId="17" borderId="97" xfId="0" applyFont="1" applyFill="1" applyBorder="1" applyAlignment="1">
      <alignment horizontal="center" vertical="center" wrapText="1"/>
    </xf>
    <xf numFmtId="0" fontId="19" fillId="2" borderId="74" xfId="0" applyFont="1" applyFill="1" applyBorder="1" applyAlignment="1">
      <alignment horizontal="center" vertical="center" wrapText="1"/>
    </xf>
    <xf numFmtId="166" fontId="25" fillId="2" borderId="92" xfId="0" applyNumberFormat="1" applyFont="1" applyFill="1" applyBorder="1" applyAlignment="1">
      <alignment horizontal="center" vertical="center"/>
    </xf>
    <xf numFmtId="164" fontId="19" fillId="2" borderId="79" xfId="0" applyNumberFormat="1" applyFont="1" applyFill="1" applyBorder="1" applyAlignment="1">
      <alignment horizontal="center" vertical="center" wrapText="1"/>
    </xf>
    <xf numFmtId="166" fontId="19" fillId="2" borderId="16" xfId="0" applyNumberFormat="1" applyFont="1" applyFill="1" applyBorder="1" applyAlignment="1">
      <alignment horizontal="center" vertical="center" wrapText="1"/>
    </xf>
    <xf numFmtId="166" fontId="25" fillId="2" borderId="2" xfId="0" applyNumberFormat="1" applyFont="1" applyFill="1" applyBorder="1" applyAlignment="1">
      <alignment horizontal="center" vertical="center" wrapText="1"/>
    </xf>
    <xf numFmtId="166" fontId="25" fillId="2" borderId="10" xfId="0" applyNumberFormat="1" applyFont="1" applyFill="1" applyBorder="1" applyAlignment="1">
      <alignment horizontal="center" vertical="center" wrapText="1"/>
    </xf>
    <xf numFmtId="1" fontId="19" fillId="7" borderId="16" xfId="0" applyNumberFormat="1" applyFont="1" applyFill="1" applyBorder="1" applyAlignment="1">
      <alignment horizontal="center" vertical="center" wrapText="1"/>
    </xf>
    <xf numFmtId="1" fontId="19" fillId="2" borderId="2" xfId="0" applyNumberFormat="1" applyFont="1" applyFill="1" applyBorder="1" applyAlignment="1">
      <alignment horizontal="center" vertical="center" wrapText="1"/>
    </xf>
    <xf numFmtId="164" fontId="19" fillId="2" borderId="81" xfId="1" applyNumberFormat="1" applyFont="1" applyFill="1" applyBorder="1" applyAlignment="1">
      <alignment horizontal="center" vertical="center" wrapText="1"/>
    </xf>
    <xf numFmtId="166" fontId="19" fillId="2" borderId="6" xfId="0" applyNumberFormat="1" applyFont="1" applyFill="1" applyBorder="1" applyAlignment="1">
      <alignment horizontal="center" vertical="center" wrapText="1"/>
    </xf>
    <xf numFmtId="166" fontId="25" fillId="2" borderId="15" xfId="0" applyNumberFormat="1" applyFont="1" applyFill="1" applyBorder="1" applyAlignment="1">
      <alignment horizontal="center" vertical="center" wrapText="1"/>
    </xf>
    <xf numFmtId="166" fontId="25" fillId="2" borderId="51" xfId="0" applyNumberFormat="1" applyFont="1" applyFill="1" applyBorder="1" applyAlignment="1">
      <alignment horizontal="center" vertical="center" wrapText="1"/>
    </xf>
    <xf numFmtId="1" fontId="19" fillId="2" borderId="16" xfId="0" applyNumberFormat="1" applyFont="1" applyFill="1" applyBorder="1" applyAlignment="1">
      <alignment horizontal="center" vertical="center" wrapText="1"/>
    </xf>
    <xf numFmtId="0" fontId="19" fillId="7" borderId="34" xfId="0" applyFont="1" applyFill="1" applyBorder="1" applyAlignment="1">
      <alignment horizontal="center" vertical="center" wrapText="1"/>
    </xf>
    <xf numFmtId="164" fontId="19" fillId="7" borderId="16" xfId="1" applyNumberFormat="1" applyFont="1" applyFill="1" applyBorder="1" applyAlignment="1">
      <alignment horizontal="center" vertical="center" wrapText="1"/>
    </xf>
    <xf numFmtId="166" fontId="25" fillId="2" borderId="1" xfId="0" applyNumberFormat="1" applyFont="1" applyFill="1" applyBorder="1" applyAlignment="1">
      <alignment horizontal="center" vertical="center" wrapText="1"/>
    </xf>
    <xf numFmtId="166" fontId="19" fillId="2" borderId="60" xfId="0" applyNumberFormat="1" applyFont="1" applyFill="1" applyBorder="1" applyAlignment="1">
      <alignment horizontal="center" vertical="center" wrapText="1"/>
    </xf>
    <xf numFmtId="0" fontId="19" fillId="2" borderId="34" xfId="0" applyFont="1" applyFill="1" applyBorder="1" applyAlignment="1">
      <alignment horizontal="center" vertical="center" wrapText="1"/>
    </xf>
    <xf numFmtId="9" fontId="19" fillId="2" borderId="98" xfId="1" applyFont="1" applyFill="1" applyBorder="1" applyAlignment="1">
      <alignment horizontal="center" vertical="center" wrapText="1"/>
    </xf>
    <xf numFmtId="164" fontId="19" fillId="2" borderId="99" xfId="1" applyNumberFormat="1" applyFont="1" applyFill="1" applyBorder="1" applyAlignment="1">
      <alignment horizontal="center" vertical="center" wrapText="1"/>
    </xf>
    <xf numFmtId="166" fontId="19" fillId="2" borderId="61" xfId="0" applyNumberFormat="1" applyFont="1" applyFill="1" applyBorder="1" applyAlignment="1">
      <alignment horizontal="center" vertical="center" wrapText="1"/>
    </xf>
    <xf numFmtId="9" fontId="19" fillId="2" borderId="35" xfId="0" applyNumberFormat="1" applyFont="1" applyFill="1" applyBorder="1" applyAlignment="1">
      <alignment horizontal="center" vertical="center" wrapText="1"/>
    </xf>
    <xf numFmtId="164" fontId="19" fillId="2" borderId="1" xfId="0" applyNumberFormat="1" applyFont="1" applyFill="1" applyBorder="1" applyAlignment="1">
      <alignment horizontal="center" vertical="center" wrapText="1"/>
    </xf>
    <xf numFmtId="0" fontId="0" fillId="0" borderId="10" xfId="0" applyBorder="1" applyAlignment="1">
      <alignment horizontal="left"/>
    </xf>
    <xf numFmtId="3" fontId="19" fillId="9" borderId="35" xfId="0" applyNumberFormat="1" applyFont="1" applyFill="1" applyBorder="1" applyAlignment="1">
      <alignment horizontal="center"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3" fontId="19" fillId="9" borderId="2" xfId="0" applyNumberFormat="1" applyFont="1" applyFill="1" applyBorder="1" applyAlignment="1">
      <alignment horizontal="center" vertical="center" wrapText="1"/>
    </xf>
    <xf numFmtId="3" fontId="19" fillId="9" borderId="15" xfId="0" applyNumberFormat="1" applyFont="1" applyFill="1" applyBorder="1" applyAlignment="1">
      <alignment horizontal="center" vertical="center" wrapText="1"/>
    </xf>
    <xf numFmtId="3" fontId="19" fillId="9" borderId="3" xfId="0" applyNumberFormat="1" applyFont="1" applyFill="1" applyBorder="1" applyAlignment="1">
      <alignment horizontal="center" vertical="center" wrapText="1"/>
    </xf>
    <xf numFmtId="0" fontId="0" fillId="0" borderId="0" xfId="0" applyAlignment="1">
      <alignment horizontal="center"/>
    </xf>
    <xf numFmtId="0" fontId="1" fillId="6" borderId="1"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20" xfId="0" applyFont="1" applyFill="1" applyBorder="1" applyAlignment="1">
      <alignment horizontal="left"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6" fillId="3" borderId="20" xfId="0" applyFont="1" applyFill="1" applyBorder="1" applyAlignment="1">
      <alignment horizontal="center" vertical="center"/>
    </xf>
    <xf numFmtId="0" fontId="6" fillId="3" borderId="93" xfId="0" applyFont="1" applyFill="1" applyBorder="1" applyAlignment="1">
      <alignment horizontal="center" vertical="center"/>
    </xf>
    <xf numFmtId="0" fontId="1" fillId="6" borderId="43"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28" fillId="5" borderId="94" xfId="0" applyFont="1" applyFill="1" applyBorder="1" applyAlignment="1">
      <alignment horizontal="center" vertical="center" wrapText="1"/>
    </xf>
    <xf numFmtId="0" fontId="28" fillId="5" borderId="52" xfId="0" applyFont="1" applyFill="1" applyBorder="1" applyAlignment="1">
      <alignment horizontal="center" vertical="center" wrapText="1"/>
    </xf>
    <xf numFmtId="0" fontId="28" fillId="5" borderId="53" xfId="0" applyFont="1" applyFill="1" applyBorder="1" applyAlignment="1">
      <alignment horizontal="center" vertical="center" wrapText="1"/>
    </xf>
    <xf numFmtId="0" fontId="28" fillId="5" borderId="54"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9" fillId="7" borderId="1" xfId="0" applyFont="1" applyFill="1" applyBorder="1" applyAlignment="1">
      <alignment horizontal="justify" vertical="center" wrapText="1"/>
    </xf>
    <xf numFmtId="0" fontId="19" fillId="7" borderId="4" xfId="0" applyFont="1" applyFill="1" applyBorder="1" applyAlignment="1">
      <alignment horizontal="justify" vertical="center" wrapText="1"/>
    </xf>
    <xf numFmtId="0" fontId="19" fillId="7" borderId="35"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8" borderId="39" xfId="0" applyFont="1" applyFill="1" applyBorder="1" applyAlignment="1">
      <alignment horizontal="justify" vertical="center" wrapText="1"/>
    </xf>
    <xf numFmtId="0" fontId="19" fillId="0" borderId="40" xfId="0" applyFont="1" applyBorder="1" applyAlignment="1">
      <alignment horizontal="justify" vertical="center" wrapText="1"/>
    </xf>
    <xf numFmtId="0" fontId="19" fillId="0" borderId="41" xfId="0" applyFont="1" applyBorder="1" applyAlignment="1">
      <alignment horizontal="justify" vertical="center" wrapText="1"/>
    </xf>
    <xf numFmtId="0" fontId="19" fillId="8" borderId="42" xfId="0" applyFont="1" applyFill="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8" borderId="29"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9" fillId="7" borderId="2" xfId="0" applyFont="1" applyFill="1" applyBorder="1" applyAlignment="1">
      <alignment horizontal="justify" vertical="center" wrapText="1"/>
    </xf>
    <xf numFmtId="0" fontId="19" fillId="0" borderId="15" xfId="0" applyFont="1" applyBorder="1" applyAlignment="1">
      <alignment horizontal="justify" vertical="center" wrapText="1"/>
    </xf>
    <xf numFmtId="0" fontId="19" fillId="0" borderId="3" xfId="0" applyFont="1" applyBorder="1" applyAlignment="1">
      <alignment horizontal="justify" vertical="center" wrapText="1"/>
    </xf>
    <xf numFmtId="0" fontId="19" fillId="7" borderId="1"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37" xfId="0" applyFont="1" applyFill="1" applyBorder="1" applyAlignment="1">
      <alignment horizontal="center" vertical="center" wrapText="1"/>
    </xf>
    <xf numFmtId="3" fontId="19" fillId="7" borderId="1" xfId="0" applyNumberFormat="1" applyFont="1" applyFill="1" applyBorder="1" applyAlignment="1">
      <alignment horizontal="center" vertical="center" wrapText="1"/>
    </xf>
    <xf numFmtId="3" fontId="19" fillId="7" borderId="4" xfId="0" applyNumberFormat="1" applyFont="1" applyFill="1" applyBorder="1" applyAlignment="1">
      <alignment horizontal="center" vertical="center" wrapText="1"/>
    </xf>
    <xf numFmtId="3" fontId="19" fillId="7" borderId="9"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7" borderId="35" xfId="0" applyFont="1" applyFill="1" applyBorder="1" applyAlignment="1">
      <alignment horizontal="justify" vertical="center" wrapText="1"/>
    </xf>
    <xf numFmtId="0" fontId="19" fillId="7" borderId="36" xfId="0" applyFont="1" applyFill="1" applyBorder="1" applyAlignment="1">
      <alignment horizontal="justify" vertical="center" wrapText="1"/>
    </xf>
    <xf numFmtId="0" fontId="19" fillId="7" borderId="37" xfId="0" applyFont="1" applyFill="1" applyBorder="1" applyAlignment="1">
      <alignment horizontal="justify" vertical="center" wrapText="1"/>
    </xf>
    <xf numFmtId="0" fontId="19" fillId="7" borderId="9" xfId="0" applyFont="1" applyFill="1" applyBorder="1" applyAlignment="1">
      <alignment horizontal="justify" vertical="center" wrapText="1"/>
    </xf>
    <xf numFmtId="0" fontId="19" fillId="7" borderId="15" xfId="0" applyFont="1" applyFill="1" applyBorder="1" applyAlignment="1">
      <alignment horizontal="justify" vertical="center" wrapText="1"/>
    </xf>
    <xf numFmtId="0" fontId="19" fillId="7" borderId="3" xfId="0" applyFont="1" applyFill="1" applyBorder="1" applyAlignment="1">
      <alignment horizontal="justify" vertical="center" wrapText="1"/>
    </xf>
    <xf numFmtId="0" fontId="19" fillId="8" borderId="35" xfId="0" applyFont="1" applyFill="1" applyBorder="1" applyAlignment="1">
      <alignment horizontal="center" vertical="center" wrapText="1"/>
    </xf>
    <xf numFmtId="0" fontId="19" fillId="0" borderId="36" xfId="0" applyFont="1" applyBorder="1" applyAlignment="1">
      <alignment vertical="center" wrapText="1"/>
    </xf>
    <xf numFmtId="0" fontId="19" fillId="0" borderId="37" xfId="0" applyFont="1" applyBorder="1" applyAlignment="1">
      <alignment vertical="center" wrapText="1"/>
    </xf>
    <xf numFmtId="0" fontId="19" fillId="9" borderId="1" xfId="0" applyFont="1" applyFill="1" applyBorder="1" applyAlignment="1">
      <alignment horizontal="justify" vertical="center" wrapText="1"/>
    </xf>
    <xf numFmtId="0" fontId="25" fillId="0" borderId="4" xfId="0" applyFont="1" applyBorder="1" applyAlignment="1">
      <alignment horizontal="justify" vertical="center" wrapText="1"/>
    </xf>
    <xf numFmtId="0" fontId="25" fillId="0" borderId="9" xfId="0" applyFont="1" applyBorder="1" applyAlignment="1">
      <alignment horizontal="justify" vertical="center" wrapText="1"/>
    </xf>
    <xf numFmtId="0" fontId="19" fillId="7" borderId="39" xfId="0" applyFont="1" applyFill="1" applyBorder="1" applyAlignment="1">
      <alignment horizontal="justify" vertical="center" wrapText="1"/>
    </xf>
    <xf numFmtId="0" fontId="19" fillId="7" borderId="40" xfId="0" applyFont="1" applyFill="1" applyBorder="1" applyAlignment="1">
      <alignment horizontal="justify" vertical="center" wrapText="1"/>
    </xf>
    <xf numFmtId="0" fontId="19" fillId="0" borderId="4" xfId="0" applyFont="1" applyBorder="1" applyAlignment="1">
      <alignment horizontal="justify" vertical="center" wrapText="1"/>
    </xf>
    <xf numFmtId="0" fontId="19" fillId="8" borderId="2" xfId="0" applyFont="1" applyFill="1" applyBorder="1" applyAlignment="1">
      <alignment horizontal="justify" vertical="center" wrapText="1"/>
    </xf>
    <xf numFmtId="0" fontId="19" fillId="8" borderId="15" xfId="0" applyFont="1" applyFill="1" applyBorder="1" applyAlignment="1">
      <alignment horizontal="justify" vertical="center" wrapText="1"/>
    </xf>
    <xf numFmtId="0" fontId="19" fillId="8" borderId="3" xfId="0" applyFont="1" applyFill="1" applyBorder="1" applyAlignment="1">
      <alignment horizontal="justify" vertical="center" wrapText="1"/>
    </xf>
    <xf numFmtId="0" fontId="29" fillId="3" borderId="2"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28" fillId="6" borderId="0"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0" fillId="2" borderId="13" xfId="0" applyFill="1" applyBorder="1" applyAlignment="1">
      <alignment horizontal="left"/>
    </xf>
    <xf numFmtId="0" fontId="0" fillId="2" borderId="14" xfId="0" applyFill="1" applyBorder="1" applyAlignment="1">
      <alignment horizontal="left"/>
    </xf>
    <xf numFmtId="3" fontId="19" fillId="9" borderId="1" xfId="0" applyNumberFormat="1" applyFont="1" applyFill="1" applyBorder="1" applyAlignment="1">
      <alignment horizontal="center" vertical="center" wrapText="1"/>
    </xf>
    <xf numFmtId="3" fontId="19" fillId="9" borderId="9" xfId="0" applyNumberFormat="1" applyFont="1" applyFill="1" applyBorder="1" applyAlignment="1">
      <alignment horizontal="center" vertical="center" wrapText="1"/>
    </xf>
    <xf numFmtId="0" fontId="28" fillId="5" borderId="57" xfId="0" applyFont="1" applyFill="1" applyBorder="1" applyAlignment="1">
      <alignment horizontal="center" vertical="center" wrapText="1"/>
    </xf>
    <xf numFmtId="0" fontId="28" fillId="5" borderId="58" xfId="0" applyFont="1" applyFill="1" applyBorder="1" applyAlignment="1">
      <alignment horizontal="center" vertical="center" wrapText="1"/>
    </xf>
    <xf numFmtId="0" fontId="28" fillId="5" borderId="49" xfId="0" applyFont="1" applyFill="1" applyBorder="1" applyAlignment="1">
      <alignment horizontal="center" vertical="center" wrapText="1"/>
    </xf>
    <xf numFmtId="0" fontId="28" fillId="5" borderId="44"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 fillId="4" borderId="55" xfId="0" applyFont="1" applyFill="1" applyBorder="1" applyAlignment="1">
      <alignment horizontal="center" vertical="center" wrapText="1"/>
    </xf>
    <xf numFmtId="9" fontId="1" fillId="4" borderId="56" xfId="0" applyNumberFormat="1" applyFont="1" applyFill="1" applyBorder="1" applyAlignment="1">
      <alignment horizontal="center" vertical="center" wrapText="1"/>
    </xf>
    <xf numFmtId="0" fontId="1" fillId="4" borderId="48"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47"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9" fillId="0" borderId="9" xfId="0" applyFont="1" applyBorder="1" applyAlignment="1">
      <alignment horizontal="justify" vertical="center" wrapText="1"/>
    </xf>
    <xf numFmtId="0" fontId="4" fillId="4" borderId="2" xfId="0" applyFont="1" applyFill="1" applyBorder="1" applyAlignment="1">
      <alignment horizontal="center" vertical="center" wrapText="1"/>
    </xf>
    <xf numFmtId="0" fontId="4" fillId="4" borderId="15" xfId="0" applyFont="1" applyFill="1" applyBorder="1" applyAlignment="1">
      <alignment horizontal="center" vertical="center" wrapText="1"/>
    </xf>
    <xf numFmtId="16" fontId="4" fillId="4" borderId="2" xfId="0" applyNumberFormat="1" applyFont="1" applyFill="1" applyBorder="1" applyAlignment="1">
      <alignment horizontal="center" vertical="center" wrapText="1"/>
    </xf>
    <xf numFmtId="16" fontId="4" fillId="4" borderId="6" xfId="0" applyNumberFormat="1" applyFont="1" applyFill="1" applyBorder="1" applyAlignment="1">
      <alignment horizontal="center" vertical="center" wrapText="1"/>
    </xf>
    <xf numFmtId="16" fontId="4" fillId="4" borderId="15" xfId="0" applyNumberFormat="1" applyFont="1" applyFill="1" applyBorder="1" applyAlignment="1">
      <alignment horizontal="center" vertical="center" wrapText="1"/>
    </xf>
    <xf numFmtId="16" fontId="4" fillId="4" borderId="11" xfId="0" applyNumberFormat="1" applyFont="1" applyFill="1" applyBorder="1" applyAlignment="1">
      <alignment horizontal="center" vertical="center" wrapText="1"/>
    </xf>
    <xf numFmtId="16" fontId="4" fillId="4" borderId="1" xfId="0" applyNumberFormat="1" applyFont="1" applyFill="1" applyBorder="1" applyAlignment="1">
      <alignment horizontal="center" vertical="center" wrapText="1"/>
    </xf>
    <xf numFmtId="16" fontId="4" fillId="4" borderId="4" xfId="0" applyNumberFormat="1" applyFont="1" applyFill="1" applyBorder="1" applyAlignment="1">
      <alignment horizontal="center" vertical="center" wrapText="1"/>
    </xf>
    <xf numFmtId="0" fontId="13" fillId="11" borderId="0" xfId="0" applyFont="1" applyFill="1" applyBorder="1" applyAlignment="1">
      <alignment horizontal="center" vertical="center" wrapText="1"/>
    </xf>
    <xf numFmtId="0" fontId="13" fillId="11" borderId="1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2" fillId="0" borderId="20" xfId="0" applyFont="1" applyBorder="1" applyAlignment="1">
      <alignment horizontal="center" vertical="center"/>
    </xf>
    <xf numFmtId="0" fontId="10" fillId="6" borderId="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16" fontId="4" fillId="4" borderId="9" xfId="0" applyNumberFormat="1" applyFont="1" applyFill="1" applyBorder="1" applyAlignment="1">
      <alignment horizontal="center" vertical="center" wrapText="1"/>
    </xf>
    <xf numFmtId="0" fontId="13" fillId="11" borderId="17"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14" fillId="0" borderId="68" xfId="0" applyFont="1" applyBorder="1" applyAlignment="1">
      <alignment horizontal="center" wrapText="1"/>
    </xf>
    <xf numFmtId="0" fontId="14" fillId="0" borderId="68" xfId="0" applyFont="1" applyBorder="1" applyAlignment="1">
      <alignment horizontal="center"/>
    </xf>
    <xf numFmtId="0" fontId="14" fillId="0" borderId="0" xfId="0" applyFont="1" applyAlignment="1">
      <alignment horizontal="center" wrapText="1"/>
    </xf>
    <xf numFmtId="0" fontId="14" fillId="0" borderId="0" xfId="0" applyFont="1" applyAlignment="1">
      <alignment horizontal="center"/>
    </xf>
  </cellXfs>
  <cellStyles count="52">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39"/>
  <sheetViews>
    <sheetView showGridLines="0" tabSelected="1" zoomScale="89" zoomScaleNormal="89" workbookViewId="0">
      <pane ySplit="2" topLeftCell="A3" activePane="bottomLeft" state="frozen"/>
      <selection pane="bottomLeft" activeCell="A3" sqref="A3:P3"/>
    </sheetView>
  </sheetViews>
  <sheetFormatPr baseColWidth="10" defaultColWidth="11.42578125" defaultRowHeight="15" x14ac:dyDescent="0.25"/>
  <cols>
    <col min="1" max="1" width="23.85546875" style="11" customWidth="1"/>
    <col min="2" max="2" width="24.7109375" style="10" customWidth="1"/>
    <col min="3" max="3" width="21.140625" style="1" customWidth="1"/>
    <col min="4" max="4" width="15.85546875" style="1" customWidth="1"/>
    <col min="5" max="5" width="16.140625" style="1" customWidth="1"/>
    <col min="6" max="6" width="23.7109375" style="1" customWidth="1"/>
    <col min="7" max="7" width="15" style="1" customWidth="1"/>
    <col min="8" max="8" width="30.5703125" style="1" customWidth="1"/>
    <col min="9" max="9" width="15" style="1" customWidth="1"/>
    <col min="10" max="10" width="9.140625" style="1" customWidth="1"/>
    <col min="11" max="11" width="16.85546875" style="1" customWidth="1"/>
    <col min="12" max="12" width="18.140625" style="1" customWidth="1"/>
    <col min="13" max="13" width="11.7109375" style="1" customWidth="1"/>
    <col min="14" max="14" width="10.85546875" style="1" customWidth="1"/>
    <col min="15" max="15" width="137" style="1" customWidth="1"/>
    <col min="16" max="16" width="23.140625" style="1" customWidth="1"/>
    <col min="17" max="17" width="28.7109375" style="1" customWidth="1"/>
    <col min="18" max="16384" width="11.42578125" style="1"/>
  </cols>
  <sheetData>
    <row r="1" spans="1:17" s="2" customFormat="1" ht="16.5" thickBot="1" x14ac:dyDescent="0.3">
      <c r="A1" s="224"/>
      <c r="B1" s="224"/>
      <c r="C1" s="224"/>
      <c r="D1" s="224"/>
      <c r="E1" s="224"/>
      <c r="F1" s="224"/>
      <c r="G1" s="224"/>
      <c r="H1" s="224"/>
      <c r="I1" s="224"/>
      <c r="J1" s="224"/>
      <c r="K1" s="224"/>
      <c r="L1" s="224"/>
      <c r="M1" s="224"/>
      <c r="N1" s="224"/>
      <c r="O1" s="224"/>
      <c r="P1" s="224"/>
    </row>
    <row r="2" spans="1:17" s="2" customFormat="1" ht="27" thickTop="1" x14ac:dyDescent="0.2">
      <c r="A2" s="291" t="s">
        <v>148</v>
      </c>
      <c r="B2" s="292"/>
      <c r="C2" s="292"/>
      <c r="D2" s="292"/>
      <c r="E2" s="292"/>
      <c r="F2" s="292"/>
      <c r="G2" s="292"/>
      <c r="H2" s="292"/>
      <c r="I2" s="292"/>
      <c r="J2" s="292"/>
      <c r="K2" s="292"/>
      <c r="L2" s="292"/>
      <c r="M2" s="292"/>
      <c r="N2" s="292"/>
      <c r="O2" s="292"/>
      <c r="P2" s="292"/>
      <c r="Q2" s="173"/>
    </row>
    <row r="3" spans="1:17" ht="18" x14ac:dyDescent="0.25">
      <c r="A3" s="228" t="s">
        <v>29</v>
      </c>
      <c r="B3" s="229"/>
      <c r="C3" s="229"/>
      <c r="D3" s="229"/>
      <c r="E3" s="229"/>
      <c r="F3" s="229"/>
      <c r="G3" s="229"/>
      <c r="H3" s="229"/>
      <c r="I3" s="229"/>
      <c r="J3" s="229"/>
      <c r="K3" s="229"/>
      <c r="L3" s="229"/>
      <c r="M3" s="229"/>
      <c r="N3" s="229"/>
      <c r="O3" s="229"/>
      <c r="P3" s="229"/>
      <c r="Q3" s="172"/>
    </row>
    <row r="4" spans="1:17" ht="15.75" x14ac:dyDescent="0.25">
      <c r="A4" s="230" t="s">
        <v>149</v>
      </c>
      <c r="B4" s="231"/>
      <c r="C4" s="231"/>
      <c r="D4" s="231"/>
      <c r="E4" s="231"/>
      <c r="F4" s="231"/>
      <c r="G4" s="231"/>
      <c r="H4" s="231"/>
      <c r="I4" s="231"/>
      <c r="J4" s="231"/>
      <c r="K4" s="231"/>
      <c r="L4" s="231"/>
      <c r="M4" s="231"/>
      <c r="N4" s="231"/>
      <c r="O4" s="231"/>
      <c r="P4" s="231"/>
      <c r="Q4" s="191"/>
    </row>
    <row r="5" spans="1:17" ht="16.5" thickBot="1" x14ac:dyDescent="0.3">
      <c r="A5" s="232" t="s">
        <v>28</v>
      </c>
      <c r="B5" s="232"/>
      <c r="C5" s="232"/>
      <c r="D5" s="232"/>
      <c r="E5" s="232"/>
      <c r="F5" s="232"/>
      <c r="G5" s="232"/>
      <c r="H5" s="232"/>
      <c r="I5" s="232"/>
      <c r="J5" s="232"/>
      <c r="K5" s="232"/>
      <c r="L5" s="232"/>
      <c r="M5" s="232"/>
      <c r="N5" s="232"/>
      <c r="O5" s="232"/>
      <c r="P5" s="232"/>
      <c r="Q5" s="172"/>
    </row>
    <row r="6" spans="1:17" ht="52.5" customHeight="1" thickTop="1" thickBot="1" x14ac:dyDescent="0.3">
      <c r="A6" s="293" t="s">
        <v>4</v>
      </c>
      <c r="B6" s="238" t="s">
        <v>96</v>
      </c>
      <c r="C6" s="238"/>
      <c r="D6" s="238"/>
      <c r="E6" s="238"/>
      <c r="F6" s="238"/>
      <c r="G6" s="238"/>
      <c r="H6" s="239"/>
      <c r="I6" s="241" t="s">
        <v>97</v>
      </c>
      <c r="J6" s="241"/>
      <c r="K6" s="241"/>
      <c r="L6" s="242"/>
      <c r="M6" s="299" t="s">
        <v>101</v>
      </c>
      <c r="N6" s="300"/>
      <c r="O6" s="236" t="s">
        <v>3</v>
      </c>
      <c r="P6" s="233" t="s">
        <v>0</v>
      </c>
    </row>
    <row r="7" spans="1:17" ht="40.5" customHeight="1" thickTop="1" thickBot="1" x14ac:dyDescent="0.3">
      <c r="A7" s="293"/>
      <c r="B7" s="225" t="s">
        <v>92</v>
      </c>
      <c r="C7" s="225" t="s">
        <v>93</v>
      </c>
      <c r="D7" s="225" t="s">
        <v>94</v>
      </c>
      <c r="E7" s="225" t="s">
        <v>95</v>
      </c>
      <c r="F7" s="225" t="s">
        <v>56</v>
      </c>
      <c r="G7" s="225" t="s">
        <v>5</v>
      </c>
      <c r="H7" s="225" t="s">
        <v>52</v>
      </c>
      <c r="I7" s="243"/>
      <c r="J7" s="244"/>
      <c r="K7" s="244"/>
      <c r="L7" s="245"/>
      <c r="M7" s="301"/>
      <c r="N7" s="302"/>
      <c r="O7" s="236"/>
      <c r="P7" s="234"/>
    </row>
    <row r="8" spans="1:17" ht="22.5" customHeight="1" thickTop="1" thickBot="1" x14ac:dyDescent="0.3">
      <c r="A8" s="293"/>
      <c r="B8" s="226"/>
      <c r="C8" s="226"/>
      <c r="D8" s="226"/>
      <c r="E8" s="226"/>
      <c r="F8" s="226"/>
      <c r="G8" s="226"/>
      <c r="H8" s="226"/>
      <c r="I8" s="306" t="s">
        <v>98</v>
      </c>
      <c r="J8" s="307"/>
      <c r="K8" s="308" t="s">
        <v>100</v>
      </c>
      <c r="L8" s="310" t="s">
        <v>51</v>
      </c>
      <c r="M8" s="303" t="s">
        <v>102</v>
      </c>
      <c r="N8" s="305" t="s">
        <v>57</v>
      </c>
      <c r="O8" s="236"/>
      <c r="P8" s="234"/>
    </row>
    <row r="9" spans="1:17" ht="29.25" customHeight="1" thickTop="1" thickBot="1" x14ac:dyDescent="0.3">
      <c r="A9" s="294"/>
      <c r="B9" s="227"/>
      <c r="C9" s="246"/>
      <c r="D9" s="226"/>
      <c r="E9" s="226"/>
      <c r="F9" s="240"/>
      <c r="G9" s="240"/>
      <c r="H9" s="226"/>
      <c r="I9" s="19" t="s">
        <v>99</v>
      </c>
      <c r="J9" s="20" t="s">
        <v>50</v>
      </c>
      <c r="K9" s="309"/>
      <c r="L9" s="311"/>
      <c r="M9" s="304"/>
      <c r="N9" s="304"/>
      <c r="O9" s="237"/>
      <c r="P9" s="235"/>
    </row>
    <row r="10" spans="1:17" s="54" customFormat="1" ht="72.75" customHeight="1" thickTop="1" thickBot="1" x14ac:dyDescent="0.25">
      <c r="A10" s="49" t="s">
        <v>2</v>
      </c>
      <c r="B10" s="247" t="s">
        <v>7</v>
      </c>
      <c r="C10" s="251" t="s">
        <v>8</v>
      </c>
      <c r="D10" s="254">
        <v>0</v>
      </c>
      <c r="E10" s="257" t="s">
        <v>9</v>
      </c>
      <c r="F10" s="50">
        <v>300</v>
      </c>
      <c r="G10" s="51">
        <f>+G11+G12+G13</f>
        <v>6899</v>
      </c>
      <c r="H10" s="181" t="str">
        <f>+H13</f>
        <v xml:space="preserve">FODESAF
Programa Presupuestario  No. 2 del BANHVI "Dirección y Administración de Operaciones"
</v>
      </c>
      <c r="I10" s="52">
        <f>+I13</f>
        <v>1882</v>
      </c>
      <c r="J10" s="131">
        <f t="shared" ref="J10:O11" si="0">+J13</f>
        <v>6.2733333333333334</v>
      </c>
      <c r="K10" s="108" t="str">
        <f t="shared" si="0"/>
        <v>Cumplida</v>
      </c>
      <c r="L10" s="51">
        <f>+L11+L12+L13</f>
        <v>12440.04727739</v>
      </c>
      <c r="M10" s="52">
        <f>90+1882</f>
        <v>1972</v>
      </c>
      <c r="N10" s="165">
        <f>((1972*100%)/(1200))</f>
        <v>1.6433333333333333</v>
      </c>
      <c r="O10" s="174" t="str">
        <f t="shared" si="0"/>
        <v>De acuerdo con lo establecido por MIVAH corresponde a casos de Triángulo de la Solidaridad, La Carpio y bonos ordinarios en que el perito determinó que la vivienda se encontraba en tan mal estado que no se justificaba realizar obras de mejoras sino que debía ser demolida y construida una nueva vivienda. Se pagaron 25 casos Triángulo de la Solidaridad por ¢435,43 millones + 4 casos de La Carpio por ¢88,23 millones, así como 1,853 bonos ordinarios por ¢11.859,0 millones, en los cuales el perito determinó que la vivienda se encontraba en tan mal estado que no se justificaba realizar obras de mejoras sino que debía ser demolida y construida una nueva vivienda.</v>
      </c>
      <c r="P10" s="53" t="s">
        <v>162</v>
      </c>
      <c r="Q10" s="184"/>
    </row>
    <row r="11" spans="1:17" s="54" customFormat="1" ht="52.5" thickTop="1" thickBot="1" x14ac:dyDescent="0.25">
      <c r="A11" s="55" t="s">
        <v>153</v>
      </c>
      <c r="B11" s="248"/>
      <c r="C11" s="252"/>
      <c r="D11" s="255"/>
      <c r="E11" s="258"/>
      <c r="F11" s="56" t="s">
        <v>133</v>
      </c>
      <c r="G11" s="195">
        <v>59</v>
      </c>
      <c r="H11" s="60" t="s">
        <v>80</v>
      </c>
      <c r="I11" s="56" t="s">
        <v>134</v>
      </c>
      <c r="J11" s="196">
        <v>1.43</v>
      </c>
      <c r="K11" s="42" t="str">
        <f t="shared" si="0"/>
        <v>Cumplida</v>
      </c>
      <c r="L11" s="195">
        <v>56</v>
      </c>
      <c r="M11" s="56">
        <f>38+428</f>
        <v>466</v>
      </c>
      <c r="N11" s="141">
        <f>((466*100%)/(500+300))</f>
        <v>0.58250000000000002</v>
      </c>
      <c r="O11" s="45" t="s">
        <v>139</v>
      </c>
      <c r="P11" s="69" t="s">
        <v>81</v>
      </c>
      <c r="Q11" s="192"/>
    </row>
    <row r="12" spans="1:17" s="54" customFormat="1" ht="78" thickTop="1" thickBot="1" x14ac:dyDescent="0.25">
      <c r="A12" s="57" t="s">
        <v>154</v>
      </c>
      <c r="B12" s="248"/>
      <c r="C12" s="252"/>
      <c r="D12" s="255"/>
      <c r="E12" s="258"/>
      <c r="F12" s="58" t="s">
        <v>62</v>
      </c>
      <c r="G12" s="195">
        <v>540</v>
      </c>
      <c r="H12" s="60" t="s">
        <v>61</v>
      </c>
      <c r="I12" s="61">
        <v>0.5</v>
      </c>
      <c r="J12" s="61">
        <v>0.5</v>
      </c>
      <c r="K12" s="107" t="s">
        <v>110</v>
      </c>
      <c r="L12" s="195">
        <v>1.4</v>
      </c>
      <c r="M12" s="61">
        <v>0.5</v>
      </c>
      <c r="N12" s="61">
        <v>0.5</v>
      </c>
      <c r="O12" s="62" t="s">
        <v>121</v>
      </c>
      <c r="P12" s="63" t="s">
        <v>63</v>
      </c>
      <c r="Q12" s="184"/>
    </row>
    <row r="13" spans="1:17" s="54" customFormat="1" ht="77.25" customHeight="1" thickTop="1" thickBot="1" x14ac:dyDescent="0.25">
      <c r="A13" s="55" t="s">
        <v>155</v>
      </c>
      <c r="B13" s="287"/>
      <c r="C13" s="253"/>
      <c r="D13" s="256"/>
      <c r="E13" s="259"/>
      <c r="F13" s="56">
        <v>300</v>
      </c>
      <c r="G13" s="59">
        <v>6300</v>
      </c>
      <c r="H13" s="64" t="s">
        <v>159</v>
      </c>
      <c r="I13" s="56">
        <f>924+426+6+(4+522)</f>
        <v>1882</v>
      </c>
      <c r="J13" s="132">
        <f>+I13/F13</f>
        <v>6.2733333333333334</v>
      </c>
      <c r="K13" s="42" t="s">
        <v>108</v>
      </c>
      <c r="L13" s="116">
        <v>12382.64727739</v>
      </c>
      <c r="M13" s="65">
        <f>52+1882</f>
        <v>1934</v>
      </c>
      <c r="N13" s="141">
        <f>((1934*100%)/(500+300))</f>
        <v>2.4175</v>
      </c>
      <c r="O13" s="175" t="s">
        <v>124</v>
      </c>
      <c r="P13" s="76" t="s">
        <v>70</v>
      </c>
      <c r="Q13" s="192"/>
    </row>
    <row r="14" spans="1:17" s="54" customFormat="1" ht="68.25" customHeight="1" thickTop="1" thickBot="1" x14ac:dyDescent="0.25">
      <c r="A14" s="49" t="s">
        <v>2</v>
      </c>
      <c r="B14" s="247" t="s">
        <v>10</v>
      </c>
      <c r="C14" s="288" t="s">
        <v>11</v>
      </c>
      <c r="D14" s="279" t="s">
        <v>16</v>
      </c>
      <c r="E14" s="270" t="s">
        <v>12</v>
      </c>
      <c r="F14" s="66">
        <v>1794</v>
      </c>
      <c r="G14" s="155">
        <f>+G15+G16+G17</f>
        <v>36014</v>
      </c>
      <c r="H14" s="67" t="str">
        <f>+H21</f>
        <v>FODESAF Programa Presupuestario  No. 2 del BANHVI "Dirección y Administración de Operaciones"</v>
      </c>
      <c r="I14" s="147">
        <f t="shared" ref="I14:O14" si="1">+I17</f>
        <v>1828</v>
      </c>
      <c r="J14" s="133">
        <f t="shared" si="1"/>
        <v>1.0189520624303232</v>
      </c>
      <c r="K14" s="42" t="str">
        <f t="shared" si="1"/>
        <v>Cumplida</v>
      </c>
      <c r="L14" s="155">
        <f>+L15+L16+L17</f>
        <v>28649.636013929998</v>
      </c>
      <c r="M14" s="164">
        <f>1394+1828</f>
        <v>3222</v>
      </c>
      <c r="N14" s="163">
        <f>((3222*100%)/(7176))</f>
        <v>0.44899665551839463</v>
      </c>
      <c r="O14" s="68" t="str">
        <f t="shared" si="1"/>
        <v>Corresponde a casos de Extrema Necesidad. De acuerdo con lo indicado por MIVAH se incluyen todos los casos de Artículo 59 y casos Indígenas tramitados como bonos regulares. Se tramitaron 1509 casos Artículo 59 y 126 casos Indígenas tramitados como bonos regulares.</v>
      </c>
      <c r="P14" s="186" t="str">
        <f t="shared" ref="P14" si="2">+P17</f>
        <v>Dirección FOSUVI BANHVI
Marta Camacho</v>
      </c>
    </row>
    <row r="15" spans="1:17" s="54" customFormat="1" ht="96.75" customHeight="1" thickTop="1" thickBot="1" x14ac:dyDescent="0.25">
      <c r="A15" s="55" t="s">
        <v>156</v>
      </c>
      <c r="B15" s="248"/>
      <c r="C15" s="289"/>
      <c r="D15" s="280"/>
      <c r="E15" s="271"/>
      <c r="F15" s="46" t="s">
        <v>135</v>
      </c>
      <c r="G15" s="195">
        <v>179</v>
      </c>
      <c r="H15" s="177" t="s">
        <v>80</v>
      </c>
      <c r="I15" s="148">
        <f>201+1502</f>
        <v>1703</v>
      </c>
      <c r="J15" s="137">
        <f>+I15/1794</f>
        <v>0.94927536231884058</v>
      </c>
      <c r="K15" s="42" t="s">
        <v>108</v>
      </c>
      <c r="L15" s="195">
        <v>170</v>
      </c>
      <c r="M15" s="148">
        <f>640+I15</f>
        <v>2343</v>
      </c>
      <c r="N15" s="132">
        <f>((2343*100%)/(1794+1794))</f>
        <v>0.65301003344481601</v>
      </c>
      <c r="O15" s="46" t="s">
        <v>136</v>
      </c>
      <c r="P15" s="76" t="s">
        <v>81</v>
      </c>
    </row>
    <row r="16" spans="1:17" s="54" customFormat="1" ht="96" customHeight="1" thickTop="1" thickBot="1" x14ac:dyDescent="0.25">
      <c r="A16" s="55" t="s">
        <v>157</v>
      </c>
      <c r="B16" s="248"/>
      <c r="C16" s="289"/>
      <c r="D16" s="280"/>
      <c r="E16" s="271"/>
      <c r="F16" s="46" t="s">
        <v>129</v>
      </c>
      <c r="G16" s="195">
        <v>30</v>
      </c>
      <c r="H16" s="74" t="s">
        <v>140</v>
      </c>
      <c r="I16" s="44">
        <v>1</v>
      </c>
      <c r="J16" s="134">
        <v>1</v>
      </c>
      <c r="K16" s="42" t="s">
        <v>108</v>
      </c>
      <c r="L16" s="195">
        <v>28.3</v>
      </c>
      <c r="M16" s="44">
        <v>1</v>
      </c>
      <c r="N16" s="134">
        <v>1</v>
      </c>
      <c r="O16" s="45" t="s">
        <v>143</v>
      </c>
      <c r="P16" s="70" t="s">
        <v>27</v>
      </c>
      <c r="Q16" s="184"/>
    </row>
    <row r="17" spans="1:18" s="54" customFormat="1" ht="76.5" customHeight="1" thickTop="1" thickBot="1" x14ac:dyDescent="0.25">
      <c r="A17" s="55" t="s">
        <v>49</v>
      </c>
      <c r="B17" s="168"/>
      <c r="C17" s="290"/>
      <c r="D17" s="281"/>
      <c r="E17" s="272"/>
      <c r="F17" s="72">
        <v>1794</v>
      </c>
      <c r="G17" s="89">
        <v>35805</v>
      </c>
      <c r="H17" s="62" t="s">
        <v>69</v>
      </c>
      <c r="I17" s="148">
        <f>566+458+36+540+43-8+170+23</f>
        <v>1828</v>
      </c>
      <c r="J17" s="132">
        <f>(I17*100%)/F17</f>
        <v>1.0189520624303232</v>
      </c>
      <c r="K17" s="112" t="s">
        <v>108</v>
      </c>
      <c r="L17" s="195">
        <v>28451.336013929998</v>
      </c>
      <c r="M17" s="148">
        <f>1394+1828</f>
        <v>3222</v>
      </c>
      <c r="N17" s="132">
        <f>((3222*100%)/(1794+1794))</f>
        <v>0.89799331103678925</v>
      </c>
      <c r="O17" s="175" t="s">
        <v>144</v>
      </c>
      <c r="P17" s="76" t="s">
        <v>70</v>
      </c>
      <c r="Q17" s="184"/>
    </row>
    <row r="18" spans="1:18" s="54" customFormat="1" ht="72" customHeight="1" thickTop="1" thickBot="1" x14ac:dyDescent="0.25">
      <c r="A18" s="49" t="s">
        <v>2</v>
      </c>
      <c r="B18" s="247" t="s">
        <v>13</v>
      </c>
      <c r="C18" s="260" t="s">
        <v>14</v>
      </c>
      <c r="D18" s="273" t="s">
        <v>15</v>
      </c>
      <c r="E18" s="247" t="s">
        <v>17</v>
      </c>
      <c r="F18" s="169">
        <v>300</v>
      </c>
      <c r="G18" s="87" t="e">
        <f>+G19+G20+#REF!+G21</f>
        <v>#REF!</v>
      </c>
      <c r="H18" s="167" t="str">
        <f t="shared" ref="H18:O18" si="3">+H21</f>
        <v>FODESAF Programa Presupuestario  No. 2 del BANHVI "Dirección y Administración de Operaciones"</v>
      </c>
      <c r="I18" s="169">
        <f t="shared" si="3"/>
        <v>16</v>
      </c>
      <c r="J18" s="133">
        <f t="shared" si="3"/>
        <v>5.3333333333333337E-2</v>
      </c>
      <c r="K18" s="48" t="str">
        <f>+K21</f>
        <v>No cumplida</v>
      </c>
      <c r="L18" s="87" t="e">
        <f>+L19+L20+#REF!+L21</f>
        <v>#REF!</v>
      </c>
      <c r="M18" s="170">
        <f>157+16</f>
        <v>173</v>
      </c>
      <c r="N18" s="163">
        <f>((173*100%)/(1200))</f>
        <v>0.14416666666666667</v>
      </c>
      <c r="O18" s="176" t="str">
        <f t="shared" si="3"/>
        <v>De acuerdo con solicitud de MIVAH corresponde a casos de los proyectos Tomas, Erizo, Cascabel, Jesús María y Josué. 16 casos Tomas pagados por ¢259,4 millones.</v>
      </c>
      <c r="P18" s="187" t="str">
        <f>+P25</f>
        <v>Dirección FOSUVI BANHVI
Marta Camacho</v>
      </c>
      <c r="Q18" s="71"/>
    </row>
    <row r="19" spans="1:18" s="54" customFormat="1" ht="78" thickTop="1" thickBot="1" x14ac:dyDescent="0.25">
      <c r="A19" s="74" t="s">
        <v>26</v>
      </c>
      <c r="B19" s="248"/>
      <c r="C19" s="277"/>
      <c r="D19" s="274"/>
      <c r="E19" s="248"/>
      <c r="F19" s="56" t="s">
        <v>137</v>
      </c>
      <c r="G19" s="195">
        <v>59</v>
      </c>
      <c r="H19" s="74" t="s">
        <v>80</v>
      </c>
      <c r="I19" s="56">
        <v>484</v>
      </c>
      <c r="J19" s="132">
        <v>1.6</v>
      </c>
      <c r="K19" s="111" t="s">
        <v>108</v>
      </c>
      <c r="L19" s="197">
        <v>56.8</v>
      </c>
      <c r="M19" s="56">
        <f>156+484</f>
        <v>640</v>
      </c>
      <c r="N19" s="132">
        <f>((640*100%)/(300+300))</f>
        <v>1.0666666666666667</v>
      </c>
      <c r="O19" s="177" t="s">
        <v>145</v>
      </c>
      <c r="P19" s="193" t="s">
        <v>82</v>
      </c>
      <c r="Q19" s="71"/>
    </row>
    <row r="20" spans="1:18" s="54" customFormat="1" ht="99.75" customHeight="1" thickTop="1" thickBot="1" x14ac:dyDescent="0.25">
      <c r="A20" s="74" t="s">
        <v>158</v>
      </c>
      <c r="B20" s="248"/>
      <c r="C20" s="277"/>
      <c r="D20" s="274"/>
      <c r="E20" s="248"/>
      <c r="F20" s="43">
        <v>1</v>
      </c>
      <c r="G20" s="56"/>
      <c r="H20" s="56"/>
      <c r="I20" s="56"/>
      <c r="J20" s="75"/>
      <c r="K20" s="117" t="s">
        <v>112</v>
      </c>
      <c r="L20" s="76"/>
      <c r="M20" s="56"/>
      <c r="N20" s="134"/>
      <c r="O20" s="62" t="s">
        <v>151</v>
      </c>
      <c r="P20" s="76" t="s">
        <v>128</v>
      </c>
      <c r="Q20" s="184"/>
    </row>
    <row r="21" spans="1:18" s="54" customFormat="1" ht="81.75" customHeight="1" thickTop="1" thickBot="1" x14ac:dyDescent="0.25">
      <c r="A21" s="74" t="s">
        <v>155</v>
      </c>
      <c r="B21" s="276"/>
      <c r="C21" s="278"/>
      <c r="D21" s="275"/>
      <c r="E21" s="276"/>
      <c r="F21" s="56">
        <v>300</v>
      </c>
      <c r="G21" s="198">
        <v>4515</v>
      </c>
      <c r="H21" s="60" t="s">
        <v>68</v>
      </c>
      <c r="I21" s="56">
        <f>3+10+3</f>
        <v>16</v>
      </c>
      <c r="J21" s="132">
        <f>+(I21*100%)/F21</f>
        <v>5.3333333333333337E-2</v>
      </c>
      <c r="K21" s="117" t="s">
        <v>112</v>
      </c>
      <c r="L21" s="199">
        <v>259.43799999999999</v>
      </c>
      <c r="M21" s="56">
        <f>0+16</f>
        <v>16</v>
      </c>
      <c r="N21" s="132">
        <f>((64*100%)/(300+300))</f>
        <v>0.10666666666666667</v>
      </c>
      <c r="O21" s="175" t="s">
        <v>127</v>
      </c>
      <c r="P21" s="56" t="s">
        <v>70</v>
      </c>
      <c r="Q21" s="185"/>
    </row>
    <row r="22" spans="1:18" s="54" customFormat="1" ht="75.75" customHeight="1" thickTop="1" thickBot="1" x14ac:dyDescent="0.25">
      <c r="A22" s="49" t="s">
        <v>2</v>
      </c>
      <c r="B22" s="247" t="s">
        <v>76</v>
      </c>
      <c r="C22" s="260" t="s">
        <v>131</v>
      </c>
      <c r="D22" s="249">
        <v>0</v>
      </c>
      <c r="E22" s="263" t="s">
        <v>18</v>
      </c>
      <c r="F22" s="170">
        <v>7000</v>
      </c>
      <c r="G22" s="87">
        <f>+G23+G24+G25+G26</f>
        <v>47608</v>
      </c>
      <c r="H22" s="182" t="str">
        <f t="shared" ref="H22:P22" si="4">+H25</f>
        <v>FODESAF Programa Presupuestario  No. 2 del BANHVI "Dirección y Administración de Operaciones"</v>
      </c>
      <c r="I22" s="147">
        <f>+I25</f>
        <v>7049</v>
      </c>
      <c r="J22" s="133">
        <f t="shared" si="4"/>
        <v>1.0069999999999999</v>
      </c>
      <c r="K22" s="42" t="str">
        <f t="shared" si="4"/>
        <v>Cumplida</v>
      </c>
      <c r="L22" s="87">
        <f>+L23+L24+L25+L26</f>
        <v>46836.13335099</v>
      </c>
      <c r="M22" s="200">
        <f>8513+7049</f>
        <v>15562</v>
      </c>
      <c r="N22" s="162">
        <f>+((15562*100%)/(20000))</f>
        <v>0.77810000000000001</v>
      </c>
      <c r="O22" s="176" t="str">
        <f t="shared" si="4"/>
        <v>De acuerdo con solicitud de MIVAH corresponde a los casos de Ahorro-Bono-Crédito, Adulto Mayor, Discapacidad y bonos regulares. Se pagaron 407 bonos de Ahorro-Bono-Crédito, 551 casos de Adulto Mayor, 413 de Discapacidad y 5,678 bonos regulares.</v>
      </c>
      <c r="P22" s="169" t="str">
        <f t="shared" si="4"/>
        <v>Dirección FOSUVI BANHVI
Marta Camacho</v>
      </c>
      <c r="Q22" s="192"/>
    </row>
    <row r="23" spans="1:18" s="54" customFormat="1" ht="60.75" customHeight="1" thickTop="1" thickBot="1" x14ac:dyDescent="0.25">
      <c r="A23" s="77" t="s">
        <v>26</v>
      </c>
      <c r="B23" s="248"/>
      <c r="C23" s="277"/>
      <c r="D23" s="250"/>
      <c r="E23" s="264"/>
      <c r="F23" s="78" t="s">
        <v>142</v>
      </c>
      <c r="G23" s="79">
        <v>179</v>
      </c>
      <c r="H23" s="177" t="s">
        <v>80</v>
      </c>
      <c r="I23" s="201">
        <v>1450</v>
      </c>
      <c r="J23" s="202">
        <f>+I23/1050</f>
        <v>1.3809523809523809</v>
      </c>
      <c r="K23" s="42" t="s">
        <v>108</v>
      </c>
      <c r="L23" s="203">
        <v>170</v>
      </c>
      <c r="M23" s="201">
        <f>260+I23</f>
        <v>1710</v>
      </c>
      <c r="N23" s="142">
        <f>+((1710*100%)/(7000+7000))</f>
        <v>0.12214285714285714</v>
      </c>
      <c r="O23" s="177" t="s">
        <v>138</v>
      </c>
      <c r="P23" s="188" t="s">
        <v>81</v>
      </c>
    </row>
    <row r="24" spans="1:18" s="54" customFormat="1" ht="62.25" customHeight="1" thickTop="1" thickBot="1" x14ac:dyDescent="0.25">
      <c r="A24" s="77" t="s">
        <v>19</v>
      </c>
      <c r="B24" s="248"/>
      <c r="C24" s="277"/>
      <c r="D24" s="250"/>
      <c r="E24" s="264"/>
      <c r="F24" s="78" t="s">
        <v>65</v>
      </c>
      <c r="G24" s="79">
        <v>40</v>
      </c>
      <c r="H24" s="80" t="s">
        <v>64</v>
      </c>
      <c r="I24" s="81">
        <v>0.98</v>
      </c>
      <c r="J24" s="82">
        <v>0.98</v>
      </c>
      <c r="K24" s="42" t="s">
        <v>108</v>
      </c>
      <c r="L24" s="157">
        <v>5</v>
      </c>
      <c r="M24" s="61">
        <v>0.98</v>
      </c>
      <c r="N24" s="110">
        <v>0.98</v>
      </c>
      <c r="O24" s="62" t="s">
        <v>122</v>
      </c>
      <c r="P24" s="189" t="s">
        <v>63</v>
      </c>
      <c r="Q24" s="184"/>
    </row>
    <row r="25" spans="1:18" s="54" customFormat="1" ht="57" customHeight="1" thickTop="1" thickBot="1" x14ac:dyDescent="0.25">
      <c r="A25" s="83" t="s">
        <v>20</v>
      </c>
      <c r="B25" s="248"/>
      <c r="C25" s="277"/>
      <c r="D25" s="250"/>
      <c r="E25" s="264"/>
      <c r="F25" s="84">
        <v>7000</v>
      </c>
      <c r="G25" s="204">
        <v>47359</v>
      </c>
      <c r="H25" s="85" t="s">
        <v>68</v>
      </c>
      <c r="I25" s="201">
        <f>3508+102+121+117+1352+99+159+97+2550-8-1048</f>
        <v>7049</v>
      </c>
      <c r="J25" s="132">
        <f>(I25*100%)/F25</f>
        <v>1.0069999999999999</v>
      </c>
      <c r="K25" s="112" t="s">
        <v>108</v>
      </c>
      <c r="L25" s="205">
        <v>46632.833350989997</v>
      </c>
      <c r="M25" s="206">
        <f>8513+7049</f>
        <v>15562</v>
      </c>
      <c r="N25" s="142">
        <f>+((15562*100%)/(7000+7000))</f>
        <v>1.1115714285714287</v>
      </c>
      <c r="O25" s="178" t="s">
        <v>146</v>
      </c>
      <c r="P25" s="76" t="s">
        <v>70</v>
      </c>
      <c r="Q25" s="184"/>
    </row>
    <row r="26" spans="1:18" s="54" customFormat="1" ht="90" customHeight="1" thickTop="1" thickBot="1" x14ac:dyDescent="0.25">
      <c r="A26" s="77" t="s">
        <v>21</v>
      </c>
      <c r="B26" s="276"/>
      <c r="C26" s="278"/>
      <c r="D26" s="266"/>
      <c r="E26" s="265"/>
      <c r="F26" s="47" t="s">
        <v>129</v>
      </c>
      <c r="G26" s="79">
        <v>30</v>
      </c>
      <c r="H26" s="85" t="s">
        <v>140</v>
      </c>
      <c r="I26" s="86">
        <v>1</v>
      </c>
      <c r="J26" s="123">
        <v>1</v>
      </c>
      <c r="K26" s="112" t="s">
        <v>108</v>
      </c>
      <c r="L26" s="203">
        <v>28.3</v>
      </c>
      <c r="M26" s="96">
        <v>1</v>
      </c>
      <c r="N26" s="134">
        <v>1</v>
      </c>
      <c r="O26" s="45" t="s">
        <v>143</v>
      </c>
      <c r="P26" s="194" t="s">
        <v>27</v>
      </c>
    </row>
    <row r="27" spans="1:18" s="54" customFormat="1" ht="90.75" customHeight="1" thickTop="1" thickBot="1" x14ac:dyDescent="0.25">
      <c r="A27" s="49" t="s">
        <v>2</v>
      </c>
      <c r="B27" s="247" t="s">
        <v>77</v>
      </c>
      <c r="C27" s="260" t="s">
        <v>22</v>
      </c>
      <c r="D27" s="249" t="s">
        <v>75</v>
      </c>
      <c r="E27" s="267">
        <v>5400</v>
      </c>
      <c r="F27" s="169">
        <v>800</v>
      </c>
      <c r="G27" s="87">
        <f>+G28+G29+G30</f>
        <v>4909</v>
      </c>
      <c r="H27" s="167" t="str">
        <f t="shared" ref="H27:O27" si="5">+H30</f>
        <v>FODESAF Programa Presupuestario  No. 2 del BANHVI
"Dirección y Administración de Operaciones"</v>
      </c>
      <c r="I27" s="169">
        <f t="shared" si="5"/>
        <v>1048</v>
      </c>
      <c r="J27" s="135">
        <f t="shared" si="5"/>
        <v>1.31</v>
      </c>
      <c r="K27" s="42" t="str">
        <f t="shared" si="5"/>
        <v>Cumplida</v>
      </c>
      <c r="L27" s="87">
        <f>+L28+L29+L30</f>
        <v>6352.0136490100003</v>
      </c>
      <c r="M27" s="161">
        <f>960+1048</f>
        <v>2008</v>
      </c>
      <c r="N27" s="160">
        <f>((2008*100%)/(5400))</f>
        <v>0.37185185185185188</v>
      </c>
      <c r="O27" s="176" t="str">
        <f t="shared" si="5"/>
        <v xml:space="preserve">De acuerdo con solicitud de MIVAH corresponde a los casos tramitados en el propósito Reparación, Ampliación, Mejoras y Terminación de Vivienda (RAMT). </v>
      </c>
      <c r="P27" s="88" t="s">
        <v>163</v>
      </c>
    </row>
    <row r="28" spans="1:18" s="54" customFormat="1" ht="192.75" thickTop="1" thickBot="1" x14ac:dyDescent="0.25">
      <c r="A28" s="77" t="s">
        <v>26</v>
      </c>
      <c r="B28" s="248"/>
      <c r="C28" s="261"/>
      <c r="D28" s="250"/>
      <c r="E28" s="268"/>
      <c r="F28" s="73" t="s">
        <v>73</v>
      </c>
      <c r="G28" s="89">
        <v>86</v>
      </c>
      <c r="H28" s="90" t="s">
        <v>161</v>
      </c>
      <c r="I28" s="150">
        <v>0.37</v>
      </c>
      <c r="J28" s="136">
        <v>0.37</v>
      </c>
      <c r="K28" s="42" t="s">
        <v>108</v>
      </c>
      <c r="L28" s="119">
        <v>77.599999999999994</v>
      </c>
      <c r="M28" s="118">
        <v>0.77</v>
      </c>
      <c r="N28" s="143">
        <v>0.77</v>
      </c>
      <c r="O28" s="120" t="s">
        <v>147</v>
      </c>
      <c r="P28" s="190" t="s">
        <v>83</v>
      </c>
      <c r="Q28" s="184"/>
    </row>
    <row r="29" spans="1:18" s="54" customFormat="1" ht="65.25" thickTop="1" thickBot="1" x14ac:dyDescent="0.25">
      <c r="A29" s="77" t="s">
        <v>19</v>
      </c>
      <c r="B29" s="248"/>
      <c r="C29" s="261"/>
      <c r="D29" s="250"/>
      <c r="E29" s="268"/>
      <c r="F29" s="58" t="s">
        <v>67</v>
      </c>
      <c r="G29" s="91">
        <v>25</v>
      </c>
      <c r="H29" s="64" t="s">
        <v>66</v>
      </c>
      <c r="I29" s="149">
        <v>0.65</v>
      </c>
      <c r="J29" s="124">
        <v>0.65</v>
      </c>
      <c r="K29" s="41" t="s">
        <v>110</v>
      </c>
      <c r="L29" s="113">
        <v>1.25</v>
      </c>
      <c r="M29" s="123">
        <v>0.65</v>
      </c>
      <c r="N29" s="122">
        <v>0.65</v>
      </c>
      <c r="O29" s="121" t="s">
        <v>123</v>
      </c>
      <c r="P29" s="189" t="s">
        <v>63</v>
      </c>
      <c r="Q29" s="184"/>
    </row>
    <row r="30" spans="1:18" s="54" customFormat="1" ht="71.25" customHeight="1" thickTop="1" thickBot="1" x14ac:dyDescent="0.25">
      <c r="A30" s="77" t="s">
        <v>20</v>
      </c>
      <c r="B30" s="312"/>
      <c r="C30" s="262"/>
      <c r="D30" s="266"/>
      <c r="E30" s="269"/>
      <c r="F30" s="56">
        <v>800</v>
      </c>
      <c r="G30" s="198">
        <v>4798</v>
      </c>
      <c r="H30" s="64" t="s">
        <v>69</v>
      </c>
      <c r="I30" s="56">
        <f>477+311+260</f>
        <v>1048</v>
      </c>
      <c r="J30" s="137">
        <f>(I30*100%)/F30</f>
        <v>1.31</v>
      </c>
      <c r="K30" s="114" t="s">
        <v>108</v>
      </c>
      <c r="L30" s="205">
        <v>6273.16364901</v>
      </c>
      <c r="M30" s="92">
        <f>960+1048</f>
        <v>2008</v>
      </c>
      <c r="N30" s="144">
        <f>((2008*100%)/(3000+800))</f>
        <v>0.5284210526315789</v>
      </c>
      <c r="O30" s="175" t="s">
        <v>125</v>
      </c>
      <c r="P30" s="76" t="s">
        <v>70</v>
      </c>
      <c r="Q30" s="184"/>
    </row>
    <row r="31" spans="1:18" s="54" customFormat="1" ht="80.25" customHeight="1" thickTop="1" thickBot="1" x14ac:dyDescent="0.25">
      <c r="A31" s="93" t="s">
        <v>30</v>
      </c>
      <c r="B31" s="282" t="s">
        <v>78</v>
      </c>
      <c r="C31" s="282" t="s">
        <v>79</v>
      </c>
      <c r="D31" s="218">
        <v>55938</v>
      </c>
      <c r="E31" s="221" t="s">
        <v>141</v>
      </c>
      <c r="F31" s="297">
        <v>100000</v>
      </c>
      <c r="G31" s="154">
        <f>+G32+G33</f>
        <v>92</v>
      </c>
      <c r="H31" s="183" t="s">
        <v>160</v>
      </c>
      <c r="I31" s="166">
        <f t="shared" ref="I31:O31" si="6">+I32</f>
        <v>144964</v>
      </c>
      <c r="J31" s="138">
        <f t="shared" si="6"/>
        <v>1.44964</v>
      </c>
      <c r="K31" s="106" t="str">
        <f t="shared" si="6"/>
        <v>Cumplida</v>
      </c>
      <c r="L31" s="154">
        <f>+L32+L33</f>
        <v>77.099999999999994</v>
      </c>
      <c r="M31" s="158">
        <f>229+144964</f>
        <v>145193</v>
      </c>
      <c r="N31" s="159">
        <f>((145193*100%)/(307500))</f>
        <v>0.47217235772357724</v>
      </c>
      <c r="O31" s="104" t="str">
        <f t="shared" si="6"/>
        <v>Se alcanza y se supera en forma satisfactoria la meta establecida.</v>
      </c>
      <c r="P31" s="94" t="s">
        <v>72</v>
      </c>
      <c r="Q31" s="184"/>
    </row>
    <row r="32" spans="1:18" s="54" customFormat="1" ht="80.25" customHeight="1" thickTop="1" thickBot="1" x14ac:dyDescent="0.25">
      <c r="A32" s="77" t="s">
        <v>20</v>
      </c>
      <c r="B32" s="283"/>
      <c r="C32" s="283"/>
      <c r="D32" s="219"/>
      <c r="E32" s="222"/>
      <c r="F32" s="298"/>
      <c r="G32" s="156">
        <v>55</v>
      </c>
      <c r="H32" s="64" t="s">
        <v>160</v>
      </c>
      <c r="I32" s="95">
        <v>144964</v>
      </c>
      <c r="J32" s="122">
        <f>(I32*100%)/F31</f>
        <v>1.44964</v>
      </c>
      <c r="K32" s="126" t="s">
        <v>108</v>
      </c>
      <c r="L32" s="76">
        <v>43.9</v>
      </c>
      <c r="M32" s="125">
        <f>229+144964</f>
        <v>145193</v>
      </c>
      <c r="N32" s="142">
        <f>((145193*100%)/(7500+100000))</f>
        <v>1.3506325581395349</v>
      </c>
      <c r="O32" s="120" t="s">
        <v>126</v>
      </c>
      <c r="P32" s="56" t="s">
        <v>72</v>
      </c>
      <c r="R32" s="184"/>
    </row>
    <row r="33" spans="1:17" s="54" customFormat="1" ht="141.75" thickTop="1" thickBot="1" x14ac:dyDescent="0.25">
      <c r="A33" s="74" t="s">
        <v>26</v>
      </c>
      <c r="B33" s="284"/>
      <c r="C33" s="284"/>
      <c r="D33" s="220"/>
      <c r="E33" s="223"/>
      <c r="F33" s="97" t="s">
        <v>74</v>
      </c>
      <c r="G33" s="98">
        <v>37</v>
      </c>
      <c r="H33" s="99" t="s">
        <v>161</v>
      </c>
      <c r="I33" s="86">
        <v>0.1</v>
      </c>
      <c r="J33" s="139">
        <v>0.1</v>
      </c>
      <c r="K33" s="41" t="s">
        <v>110</v>
      </c>
      <c r="L33" s="76">
        <v>33.200000000000003</v>
      </c>
      <c r="M33" s="86">
        <v>0.9</v>
      </c>
      <c r="N33" s="145">
        <v>0.9</v>
      </c>
      <c r="O33" s="179" t="s">
        <v>130</v>
      </c>
      <c r="P33" s="56" t="s">
        <v>84</v>
      </c>
      <c r="Q33" s="184"/>
    </row>
    <row r="34" spans="1:17" s="54" customFormat="1" ht="63.75" customHeight="1" thickTop="1" thickBot="1" x14ac:dyDescent="0.25">
      <c r="A34" s="49" t="s">
        <v>2</v>
      </c>
      <c r="B34" s="247" t="s">
        <v>23</v>
      </c>
      <c r="C34" s="285" t="s">
        <v>24</v>
      </c>
      <c r="D34" s="249">
        <v>18</v>
      </c>
      <c r="E34" s="247" t="s">
        <v>25</v>
      </c>
      <c r="F34" s="66">
        <v>6</v>
      </c>
      <c r="G34" s="87">
        <f>+G35+G36+G37</f>
        <v>6115</v>
      </c>
      <c r="H34" s="100" t="str">
        <f t="shared" ref="H34:O34" si="7">+H36</f>
        <v>FODESAF Programa Presupuestario  No. 2 del BANHVI "Dirección y Administración de Operaciones"</v>
      </c>
      <c r="I34" s="169">
        <f t="shared" si="7"/>
        <v>1</v>
      </c>
      <c r="J34" s="140">
        <f t="shared" si="7"/>
        <v>0.16666666666666666</v>
      </c>
      <c r="K34" s="105" t="str">
        <f t="shared" si="7"/>
        <v>No cumplida</v>
      </c>
      <c r="L34" s="87">
        <f>+L35+L36+L37</f>
        <v>2853.3713650300001</v>
      </c>
      <c r="M34" s="207">
        <f>4+1</f>
        <v>5</v>
      </c>
      <c r="N34" s="208">
        <f>((M34*100%)/(20))</f>
        <v>0.25</v>
      </c>
      <c r="O34" s="180" t="str">
        <f t="shared" si="7"/>
        <v xml:space="preserve">Se terminó el proyecto Los Cuadros, ubicado en San José, Goicoechea, Purral; el cual beneficia en forma directa alrededor de  2,164 familias. Asimismo, se aprobaron las prefactibilidades de los proyectos Parque Amarillo ubicado en Guatuso, La Libertad en Pavas, Plaza León XIII en Tibás, Parque Recreativo Mi Patio en Barranca y Parque Poas Identidad y Progreso en Aserrí.  Actualmente se encuentran 7 proyectos en construcción, 2 con financiamiento aprobado y  14 con prefactibilidad aprobada. </v>
      </c>
      <c r="P34" s="186" t="s">
        <v>71</v>
      </c>
    </row>
    <row r="35" spans="1:17" s="54" customFormat="1" ht="409.5" customHeight="1" thickTop="1" thickBot="1" x14ac:dyDescent="0.25">
      <c r="A35" s="77" t="s">
        <v>26</v>
      </c>
      <c r="B35" s="248"/>
      <c r="C35" s="286"/>
      <c r="D35" s="250"/>
      <c r="E35" s="248"/>
      <c r="F35" s="43" t="s">
        <v>60</v>
      </c>
      <c r="G35" s="101">
        <v>229</v>
      </c>
      <c r="H35" s="43" t="s">
        <v>161</v>
      </c>
      <c r="I35" s="102">
        <v>7</v>
      </c>
      <c r="J35" s="109">
        <v>1.1666666666666667</v>
      </c>
      <c r="K35" s="130" t="s">
        <v>108</v>
      </c>
      <c r="L35" s="101">
        <v>219</v>
      </c>
      <c r="M35" s="129">
        <f>10+7</f>
        <v>17</v>
      </c>
      <c r="N35" s="146">
        <f>+M35/12</f>
        <v>1.4166666666666667</v>
      </c>
      <c r="O35" s="103" t="s">
        <v>152</v>
      </c>
      <c r="P35" s="76" t="s">
        <v>85</v>
      </c>
      <c r="Q35" s="184"/>
    </row>
    <row r="36" spans="1:17" s="54" customFormat="1" ht="66.75" customHeight="1" thickTop="1" thickBot="1" x14ac:dyDescent="0.25">
      <c r="A36" s="77" t="s">
        <v>20</v>
      </c>
      <c r="B36" s="248"/>
      <c r="C36" s="286"/>
      <c r="D36" s="250"/>
      <c r="E36" s="248"/>
      <c r="F36" s="72">
        <v>6</v>
      </c>
      <c r="G36" s="209">
        <v>5856</v>
      </c>
      <c r="H36" s="46" t="s">
        <v>68</v>
      </c>
      <c r="I36" s="56">
        <v>1</v>
      </c>
      <c r="J36" s="137">
        <f>(I36*100%)/F36</f>
        <v>0.16666666666666666</v>
      </c>
      <c r="K36" s="115" t="s">
        <v>112</v>
      </c>
      <c r="L36" s="210">
        <v>2606.0713650299999</v>
      </c>
      <c r="M36" s="211">
        <f>4+1</f>
        <v>5</v>
      </c>
      <c r="N36" s="123">
        <f>((M36*100%)/(6+6))</f>
        <v>0.41666666666666669</v>
      </c>
      <c r="O36" s="175" t="s">
        <v>132</v>
      </c>
      <c r="P36" s="56" t="s">
        <v>70</v>
      </c>
    </row>
    <row r="37" spans="1:17" s="54" customFormat="1" ht="90" customHeight="1" thickTop="1" thickBot="1" x14ac:dyDescent="0.25">
      <c r="A37" s="77" t="s">
        <v>27</v>
      </c>
      <c r="B37" s="248"/>
      <c r="C37" s="286"/>
      <c r="D37" s="250"/>
      <c r="E37" s="248"/>
      <c r="F37" s="46" t="s">
        <v>129</v>
      </c>
      <c r="G37" s="209">
        <v>30</v>
      </c>
      <c r="H37" s="46" t="s">
        <v>140</v>
      </c>
      <c r="I37" s="212">
        <v>1</v>
      </c>
      <c r="J37" s="213">
        <v>1</v>
      </c>
      <c r="K37" s="128" t="s">
        <v>108</v>
      </c>
      <c r="L37" s="214">
        <v>28.3</v>
      </c>
      <c r="M37" s="215">
        <v>1</v>
      </c>
      <c r="N37" s="216">
        <v>1</v>
      </c>
      <c r="O37" s="45" t="s">
        <v>143</v>
      </c>
      <c r="P37" s="43" t="s">
        <v>27</v>
      </c>
    </row>
    <row r="38" spans="1:17" ht="16.5" thickTop="1" thickBot="1" x14ac:dyDescent="0.3">
      <c r="A38" s="295" t="s">
        <v>150</v>
      </c>
      <c r="B38" s="295"/>
      <c r="C38" s="295"/>
      <c r="D38" s="295"/>
      <c r="E38" s="295"/>
      <c r="F38" s="295"/>
      <c r="G38" s="295"/>
      <c r="H38" s="295"/>
      <c r="I38" s="295"/>
      <c r="J38" s="295"/>
      <c r="K38" s="295"/>
      <c r="L38" s="295"/>
      <c r="M38" s="295"/>
      <c r="N38" s="295"/>
      <c r="O38" s="295"/>
      <c r="P38" s="296"/>
    </row>
    <row r="39" spans="1:17" ht="15.75" thickTop="1" x14ac:dyDescent="0.25">
      <c r="A39" s="217"/>
      <c r="C39" s="3"/>
      <c r="F39" s="127"/>
      <c r="N39" s="127"/>
      <c r="O39" s="127"/>
      <c r="P39" s="127"/>
    </row>
  </sheetData>
  <mergeCells count="53">
    <mergeCell ref="D22:D26"/>
    <mergeCell ref="F7:F9"/>
    <mergeCell ref="A2:P2"/>
    <mergeCell ref="A6:A9"/>
    <mergeCell ref="A38:P38"/>
    <mergeCell ref="F31:F32"/>
    <mergeCell ref="M6:N7"/>
    <mergeCell ref="M8:M9"/>
    <mergeCell ref="N8:N9"/>
    <mergeCell ref="I8:J8"/>
    <mergeCell ref="K8:K9"/>
    <mergeCell ref="L8:L9"/>
    <mergeCell ref="B34:B37"/>
    <mergeCell ref="B27:B30"/>
    <mergeCell ref="B18:B21"/>
    <mergeCell ref="B31:B33"/>
    <mergeCell ref="C34:C37"/>
    <mergeCell ref="B10:B13"/>
    <mergeCell ref="C18:C21"/>
    <mergeCell ref="C14:C17"/>
    <mergeCell ref="B22:B26"/>
    <mergeCell ref="B14:B16"/>
    <mergeCell ref="D34:D37"/>
    <mergeCell ref="E34:E37"/>
    <mergeCell ref="C10:C13"/>
    <mergeCell ref="D10:D13"/>
    <mergeCell ref="E10:E13"/>
    <mergeCell ref="C27:C30"/>
    <mergeCell ref="E22:E26"/>
    <mergeCell ref="D27:D30"/>
    <mergeCell ref="E27:E30"/>
    <mergeCell ref="E14:E17"/>
    <mergeCell ref="D18:D21"/>
    <mergeCell ref="E18:E21"/>
    <mergeCell ref="C22:C26"/>
    <mergeCell ref="D14:D17"/>
    <mergeCell ref="C31:C33"/>
    <mergeCell ref="D31:D33"/>
    <mergeCell ref="E31:E33"/>
    <mergeCell ref="A1:P1"/>
    <mergeCell ref="B7:B9"/>
    <mergeCell ref="A3:P3"/>
    <mergeCell ref="A4:P4"/>
    <mergeCell ref="A5:P5"/>
    <mergeCell ref="P6:P9"/>
    <mergeCell ref="O6:O9"/>
    <mergeCell ref="H7:H9"/>
    <mergeCell ref="E7:E9"/>
    <mergeCell ref="D7:D9"/>
    <mergeCell ref="B6:H6"/>
    <mergeCell ref="G7:G9"/>
    <mergeCell ref="I6:L7"/>
    <mergeCell ref="C7:C9"/>
  </mergeCells>
  <phoneticPr fontId="18" type="noConversion"/>
  <printOptions horizontalCentered="1" verticalCentered="1"/>
  <pageMargins left="0" right="0" top="0" bottom="0" header="0" footer="0"/>
  <pageSetup scale="26"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6"/>
  <sheetViews>
    <sheetView showGridLines="0" topLeftCell="A4" zoomScaleNormal="100" workbookViewId="0">
      <selection activeCell="H11" sqref="H11"/>
    </sheetView>
  </sheetViews>
  <sheetFormatPr baseColWidth="10" defaultRowHeight="15" x14ac:dyDescent="0.25"/>
  <cols>
    <col min="1" max="1" width="11.42578125" style="1"/>
    <col min="2" max="2" width="26.42578125" style="1" customWidth="1"/>
    <col min="3" max="3" width="22" style="1" customWidth="1"/>
    <col min="4" max="4" width="20.28515625" style="1" customWidth="1"/>
    <col min="5" max="5" width="14.140625" style="1" customWidth="1"/>
    <col min="6" max="7" width="11.42578125" style="1"/>
    <col min="8" max="8" width="14.5703125" style="1" customWidth="1"/>
    <col min="9" max="9" width="11.42578125" style="1"/>
    <col min="10" max="10" width="19.42578125" style="1" customWidth="1"/>
    <col min="11" max="12" width="11.42578125" style="1"/>
    <col min="13" max="13" width="14.85546875" style="1" customWidth="1"/>
    <col min="14" max="14" width="15.5703125" style="1" customWidth="1"/>
    <col min="15" max="16384" width="11.42578125" style="1"/>
  </cols>
  <sheetData>
    <row r="2" spans="1:14" ht="15" customHeight="1" x14ac:dyDescent="0.25">
      <c r="A2" s="4"/>
      <c r="B2" s="326" t="s">
        <v>59</v>
      </c>
      <c r="C2" s="326"/>
      <c r="D2" s="326"/>
      <c r="E2" s="326"/>
      <c r="F2" s="326"/>
      <c r="G2" s="326"/>
      <c r="H2" s="326"/>
      <c r="I2" s="326"/>
      <c r="J2" s="326"/>
      <c r="K2" s="326"/>
      <c r="L2" s="326"/>
      <c r="M2" s="326"/>
      <c r="N2" s="326"/>
    </row>
    <row r="3" spans="1:14" x14ac:dyDescent="0.25">
      <c r="A3" s="5"/>
      <c r="B3" s="12" t="s">
        <v>6</v>
      </c>
      <c r="C3" s="13"/>
      <c r="D3" s="13"/>
      <c r="E3" s="13"/>
      <c r="F3" s="13"/>
      <c r="G3" s="13"/>
      <c r="H3" s="13"/>
      <c r="I3" s="13"/>
      <c r="J3" s="13"/>
      <c r="K3" s="13"/>
      <c r="L3" s="13"/>
      <c r="M3" s="13"/>
      <c r="N3" s="13"/>
    </row>
    <row r="4" spans="1:14" ht="15.75" thickBot="1" x14ac:dyDescent="0.3">
      <c r="A4" s="6"/>
      <c r="B4" s="14" t="s">
        <v>31</v>
      </c>
      <c r="C4" s="15"/>
      <c r="D4" s="15"/>
      <c r="E4" s="15"/>
      <c r="F4" s="15"/>
      <c r="G4" s="15"/>
      <c r="H4" s="327"/>
      <c r="I4" s="327"/>
      <c r="J4" s="327"/>
      <c r="K4" s="327"/>
      <c r="L4" s="327"/>
      <c r="M4" s="327"/>
      <c r="N4" s="327"/>
    </row>
    <row r="5" spans="1:14" ht="51" customHeight="1" thickTop="1" thickBot="1" x14ac:dyDescent="0.3">
      <c r="A5" s="321" t="s">
        <v>1</v>
      </c>
      <c r="B5" s="321"/>
      <c r="C5" s="321"/>
      <c r="D5" s="321"/>
      <c r="E5" s="321"/>
      <c r="F5" s="321"/>
      <c r="G5" s="322"/>
      <c r="H5" s="338" t="s">
        <v>104</v>
      </c>
      <c r="I5" s="339"/>
      <c r="J5" s="339"/>
      <c r="K5" s="338"/>
      <c r="L5" s="339"/>
      <c r="M5" s="339"/>
      <c r="N5" s="340"/>
    </row>
    <row r="6" spans="1:14" ht="16.5" customHeight="1" thickTop="1" x14ac:dyDescent="0.25">
      <c r="A6" s="323"/>
      <c r="B6" s="323" t="s">
        <v>32</v>
      </c>
      <c r="C6" s="328" t="s">
        <v>103</v>
      </c>
      <c r="D6" s="328" t="s">
        <v>33</v>
      </c>
      <c r="E6" s="323" t="s">
        <v>34</v>
      </c>
      <c r="F6" s="331" t="s">
        <v>35</v>
      </c>
      <c r="G6" s="332"/>
      <c r="H6" s="319" t="s">
        <v>105</v>
      </c>
      <c r="I6" s="21"/>
      <c r="J6" s="319" t="s">
        <v>36</v>
      </c>
      <c r="K6" s="315" t="s">
        <v>106</v>
      </c>
      <c r="L6" s="316"/>
      <c r="M6" s="319" t="s">
        <v>58</v>
      </c>
      <c r="N6" s="341" t="s">
        <v>0</v>
      </c>
    </row>
    <row r="7" spans="1:14" ht="15.75" thickBot="1" x14ac:dyDescent="0.3">
      <c r="A7" s="324"/>
      <c r="B7" s="324"/>
      <c r="C7" s="329"/>
      <c r="D7" s="329"/>
      <c r="E7" s="324"/>
      <c r="F7" s="333"/>
      <c r="G7" s="334"/>
      <c r="H7" s="320"/>
      <c r="I7" s="22"/>
      <c r="J7" s="320"/>
      <c r="K7" s="317"/>
      <c r="L7" s="318"/>
      <c r="M7" s="320"/>
      <c r="N7" s="342"/>
    </row>
    <row r="8" spans="1:14" ht="15.75" thickTop="1" x14ac:dyDescent="0.25">
      <c r="A8" s="324"/>
      <c r="B8" s="324"/>
      <c r="C8" s="329"/>
      <c r="D8" s="329"/>
      <c r="E8" s="324"/>
      <c r="F8" s="333"/>
      <c r="G8" s="334"/>
      <c r="H8" s="320"/>
      <c r="I8" s="22" t="s">
        <v>50</v>
      </c>
      <c r="J8" s="320"/>
      <c r="K8" s="313" t="s">
        <v>102</v>
      </c>
      <c r="L8" s="313" t="s">
        <v>50</v>
      </c>
      <c r="M8" s="320"/>
      <c r="N8" s="342"/>
    </row>
    <row r="9" spans="1:14" x14ac:dyDescent="0.25">
      <c r="A9" s="324"/>
      <c r="B9" s="324"/>
      <c r="C9" s="329"/>
      <c r="D9" s="329"/>
      <c r="E9" s="324"/>
      <c r="F9" s="333"/>
      <c r="G9" s="334"/>
      <c r="H9" s="320"/>
      <c r="I9" s="22"/>
      <c r="J9" s="320"/>
      <c r="K9" s="314"/>
      <c r="L9" s="314"/>
      <c r="M9" s="320"/>
      <c r="N9" s="342"/>
    </row>
    <row r="10" spans="1:14" ht="15.75" thickBot="1" x14ac:dyDescent="0.3">
      <c r="A10" s="325"/>
      <c r="B10" s="325"/>
      <c r="C10" s="330"/>
      <c r="D10" s="330"/>
      <c r="E10" s="325"/>
      <c r="F10" s="335"/>
      <c r="G10" s="336"/>
      <c r="H10" s="337"/>
      <c r="I10" s="23"/>
      <c r="J10" s="320"/>
      <c r="K10" s="314"/>
      <c r="L10" s="314"/>
      <c r="M10" s="320"/>
      <c r="N10" s="343"/>
    </row>
    <row r="11" spans="1:14" ht="151.5" customHeight="1" thickTop="1" thickBot="1" x14ac:dyDescent="0.3">
      <c r="A11" s="17" t="s">
        <v>37</v>
      </c>
      <c r="B11" s="7" t="s">
        <v>38</v>
      </c>
      <c r="C11" s="7" t="s">
        <v>39</v>
      </c>
      <c r="D11" s="7" t="s">
        <v>40</v>
      </c>
      <c r="E11" s="7" t="s">
        <v>41</v>
      </c>
      <c r="F11" s="7" t="s">
        <v>89</v>
      </c>
      <c r="G11" s="8" t="s">
        <v>88</v>
      </c>
      <c r="H11" s="24">
        <f>1882+1828+16</f>
        <v>3726</v>
      </c>
      <c r="I11" s="27">
        <f>H11/3000</f>
        <v>1.242</v>
      </c>
      <c r="J11" s="152" t="s">
        <v>108</v>
      </c>
      <c r="K11" s="28">
        <f>+(52+1394)+(1882+1828+16)</f>
        <v>5172</v>
      </c>
      <c r="L11" s="153">
        <f>((5172*100%)/(2600+3000))</f>
        <v>0.9235714285714286</v>
      </c>
      <c r="M11" s="153"/>
      <c r="N11" s="7" t="s">
        <v>53</v>
      </c>
    </row>
    <row r="12" spans="1:14" ht="132.75" customHeight="1" thickTop="1" thickBot="1" x14ac:dyDescent="0.3">
      <c r="A12" s="17" t="s">
        <v>37</v>
      </c>
      <c r="B12" s="7" t="s">
        <v>86</v>
      </c>
      <c r="C12" s="7" t="s">
        <v>87</v>
      </c>
      <c r="D12" s="7" t="s">
        <v>42</v>
      </c>
      <c r="E12" s="7" t="s">
        <v>43</v>
      </c>
      <c r="F12" s="7" t="s">
        <v>44</v>
      </c>
      <c r="G12" s="8" t="s">
        <v>90</v>
      </c>
      <c r="H12" s="24">
        <f>7049+1048</f>
        <v>8097</v>
      </c>
      <c r="I12" s="25">
        <f>H12/9962</f>
        <v>0.81278859666733583</v>
      </c>
      <c r="J12" s="152" t="s">
        <v>108</v>
      </c>
      <c r="K12" s="28">
        <f>+(8513+960)+(7049+1048)</f>
        <v>17570</v>
      </c>
      <c r="L12" s="153">
        <f>((17570*100%)/(7525+9962))</f>
        <v>1.0047463830273917</v>
      </c>
      <c r="M12" s="153"/>
      <c r="N12" s="7" t="s">
        <v>55</v>
      </c>
    </row>
    <row r="13" spans="1:14" ht="100.5" customHeight="1" thickTop="1" thickBot="1" x14ac:dyDescent="0.3">
      <c r="A13" s="16" t="s">
        <v>37</v>
      </c>
      <c r="B13" s="7" t="s">
        <v>45</v>
      </c>
      <c r="C13" s="7" t="s">
        <v>46</v>
      </c>
      <c r="D13" s="7" t="s">
        <v>47</v>
      </c>
      <c r="E13" s="7">
        <v>18</v>
      </c>
      <c r="F13" s="7" t="s">
        <v>48</v>
      </c>
      <c r="G13" s="7" t="s">
        <v>91</v>
      </c>
      <c r="H13" s="9">
        <v>1</v>
      </c>
      <c r="I13" s="171">
        <f>+H13/6</f>
        <v>0.16666666666666666</v>
      </c>
      <c r="J13" s="151" t="s">
        <v>112</v>
      </c>
      <c r="K13" s="28">
        <f>4+1</f>
        <v>5</v>
      </c>
      <c r="L13" s="153">
        <f>((5*100%)/(6+6))</f>
        <v>0.41666666666666669</v>
      </c>
      <c r="M13" s="18"/>
      <c r="N13" s="7" t="s">
        <v>54</v>
      </c>
    </row>
    <row r="14" spans="1:14" ht="15.75" thickTop="1" x14ac:dyDescent="0.25"/>
    <row r="15" spans="1:14" x14ac:dyDescent="0.25">
      <c r="K15" s="26"/>
    </row>
    <row r="16" spans="1:14" x14ac:dyDescent="0.25">
      <c r="J16" s="26"/>
    </row>
  </sheetData>
  <mergeCells count="18">
    <mergeCell ref="B2:N2"/>
    <mergeCell ref="H4:N4"/>
    <mergeCell ref="B6:B10"/>
    <mergeCell ref="C6:C10"/>
    <mergeCell ref="D6:D10"/>
    <mergeCell ref="E6:E10"/>
    <mergeCell ref="F6:G10"/>
    <mergeCell ref="H6:H10"/>
    <mergeCell ref="J6:J10"/>
    <mergeCell ref="H5:J5"/>
    <mergeCell ref="K5:N5"/>
    <mergeCell ref="N6:N10"/>
    <mergeCell ref="K8:K10"/>
    <mergeCell ref="L8:L10"/>
    <mergeCell ref="K6:L7"/>
    <mergeCell ref="M6:M10"/>
    <mergeCell ref="A5:G5"/>
    <mergeCell ref="A6:A10"/>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13"/>
  <sheetViews>
    <sheetView workbookViewId="0">
      <selection activeCell="B11" sqref="B11"/>
    </sheetView>
  </sheetViews>
  <sheetFormatPr baseColWidth="10" defaultColWidth="10.85546875" defaultRowHeight="15" x14ac:dyDescent="0.25"/>
  <cols>
    <col min="1" max="1" width="48.85546875" style="36" customWidth="1"/>
    <col min="2" max="2" width="141.28515625" style="36" customWidth="1"/>
    <col min="3" max="251" width="10.85546875" style="36" customWidth="1"/>
    <col min="252" max="16384" width="10.85546875" style="29"/>
  </cols>
  <sheetData>
    <row r="1" spans="1:4" s="29" customFormat="1" ht="15" customHeight="1" x14ac:dyDescent="0.25">
      <c r="A1" s="1"/>
      <c r="B1" s="1"/>
      <c r="C1" s="1"/>
      <c r="D1" s="1"/>
    </row>
    <row r="2" spans="1:4" s="29" customFormat="1" ht="65.25" customHeight="1" thickBot="1" x14ac:dyDescent="0.3">
      <c r="A2" s="344" t="s">
        <v>107</v>
      </c>
      <c r="B2" s="345"/>
      <c r="C2" s="1"/>
      <c r="D2" s="1"/>
    </row>
    <row r="3" spans="1:4" s="29" customFormat="1" ht="65.25" customHeight="1" thickTop="1" thickBot="1" x14ac:dyDescent="0.3">
      <c r="A3" s="30" t="s">
        <v>108</v>
      </c>
      <c r="B3" s="31" t="s">
        <v>109</v>
      </c>
      <c r="C3" s="1"/>
      <c r="D3" s="1"/>
    </row>
    <row r="4" spans="1:4" s="29" customFormat="1" ht="65.25" customHeight="1" thickTop="1" thickBot="1" x14ac:dyDescent="0.3">
      <c r="A4" s="32" t="s">
        <v>110</v>
      </c>
      <c r="B4" s="33" t="s">
        <v>111</v>
      </c>
      <c r="C4" s="1"/>
      <c r="D4" s="1"/>
    </row>
    <row r="5" spans="1:4" s="29" customFormat="1" ht="65.25" customHeight="1" thickTop="1" thickBot="1" x14ac:dyDescent="0.3">
      <c r="A5" s="34" t="s">
        <v>112</v>
      </c>
      <c r="B5" s="33" t="s">
        <v>113</v>
      </c>
      <c r="C5" s="1"/>
      <c r="D5" s="1"/>
    </row>
    <row r="6" spans="1:4" s="29" customFormat="1" ht="15" customHeight="1" thickTop="1" x14ac:dyDescent="0.25">
      <c r="A6" s="1"/>
      <c r="B6" s="1"/>
      <c r="C6" s="1"/>
      <c r="D6" s="1"/>
    </row>
    <row r="7" spans="1:4" s="29" customFormat="1" ht="15" customHeight="1" x14ac:dyDescent="0.25">
      <c r="A7" s="1"/>
      <c r="B7" s="1"/>
      <c r="C7" s="1"/>
      <c r="D7" s="1"/>
    </row>
    <row r="8" spans="1:4" s="29" customFormat="1" ht="15" customHeight="1" x14ac:dyDescent="0.25">
      <c r="A8" s="1"/>
      <c r="B8" s="1"/>
      <c r="C8" s="1"/>
      <c r="D8" s="1"/>
    </row>
    <row r="9" spans="1:4" s="29" customFormat="1" ht="54" customHeight="1" thickBot="1" x14ac:dyDescent="0.3">
      <c r="A9" s="346" t="s">
        <v>114</v>
      </c>
      <c r="B9" s="347"/>
      <c r="C9" s="35"/>
      <c r="D9" s="35"/>
    </row>
    <row r="10" spans="1:4" ht="19.5" thickTop="1" thickBot="1" x14ac:dyDescent="0.3">
      <c r="A10" s="37" t="s">
        <v>115</v>
      </c>
      <c r="B10" s="38" t="s">
        <v>116</v>
      </c>
    </row>
    <row r="11" spans="1:4" ht="36" customHeight="1" thickTop="1" thickBot="1" x14ac:dyDescent="0.3">
      <c r="A11" s="39" t="s">
        <v>117</v>
      </c>
      <c r="B11" s="38" t="s">
        <v>118</v>
      </c>
    </row>
    <row r="12" spans="1:4" ht="31.5" thickTop="1" thickBot="1" x14ac:dyDescent="0.3">
      <c r="A12" s="40" t="s">
        <v>119</v>
      </c>
      <c r="B12" s="38" t="s">
        <v>120</v>
      </c>
    </row>
    <row r="13" spans="1:4" ht="15.75" thickTop="1" x14ac:dyDescent="0.25"/>
  </sheetData>
  <mergeCells count="2">
    <mergeCell ref="A2:B2"/>
    <mergeCell ref="A9:B9"/>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baseType="variant" size="4">
      <vt:variant>
        <vt:lpstr>Hojas de cálculo</vt:lpstr>
      </vt:variant>
      <vt:variant>
        <vt:i4>3</vt:i4>
      </vt:variant>
      <vt:variant>
        <vt:lpstr>Rangos con nombre</vt:lpstr>
      </vt:variant>
      <vt:variant>
        <vt:i4>2</vt:i4>
      </vt:variant>
    </vt:vector>
  </HeadingPairs>
  <TitlesOfParts>
    <vt:vector baseType="lpstr" size="5">
      <vt:lpstr>MATRIZ SEGU. METAS PROGRAMAS</vt:lpstr>
      <vt:lpstr>MATRIZ SEG. METAS SECTORIALES</vt:lpstr>
      <vt:lpstr>clasif categ</vt:lpstr>
      <vt:lpstr>'MATRIZ SEGU. METAS PROGRAMAS'!Área_de_impresión</vt:lpstr>
      <vt:lpstr>'MATRIZ SEGU. METAS PROGRAMAS'!Títulos_a_imprimir</vt:lpstr>
    </vt:vector>
  </TitlesOfParts>
  <LinksUpToDate>false</LinksUpToDate>
  <SharedDoc>false</SharedDoc>
  <HyperlinksChanged>false</HyperlinksChanged>
  <AppVersion>16.0300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