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colorstyle+xml" PartName="/xl/charts/colors9.xml"/>
  <Override ContentType="application/vnd.ms-office.chartcolorstyle+xml" PartName="/xl/charts/colors10.xml"/>
  <Override ContentType="application/vnd.ms-office.chartcolorstyle+xml" PartName="/xl/charts/colors11.xml"/>
  <Override ContentType="application/vnd.ms-office.chartcolorstyle+xml" PartName="/xl/charts/colors12.xml"/>
  <Override ContentType="application/vnd.ms-office.chartcolorstyle+xml" PartName="/xl/charts/colors13.xml"/>
  <Override ContentType="application/vnd.ms-office.chartcolorstyle+xml" PartName="/xl/charts/colors14.xml"/>
  <Override ContentType="application/vnd.ms-office.chartcolorstyle+xml" PartName="/xl/charts/colors15.xml"/>
  <Override ContentType="application/vnd.ms-office.chartcolorstyle+xml" PartName="/xl/charts/colors16.xml"/>
  <Override ContentType="application/vnd.ms-office.chartcolorstyle+xml" PartName="/xl/charts/colors17.xml"/>
  <Override ContentType="application/vnd.ms-office.chartcolorstyle+xml" PartName="/xl/charts/colors18.xml"/>
  <Override ContentType="application/vnd.ms-office.chartcolorstyle+xml" PartName="/xl/charts/colors19.xml"/>
  <Override ContentType="application/vnd.ms-office.chartcolorstyle+xml" PartName="/xl/charts/colors20.xml"/>
  <Override ContentType="application/vnd.ms-office.chartcolorstyle+xml" PartName="/xl/charts/colors21.xml"/>
  <Override ContentType="application/vnd.ms-office.chartcolorstyle+xml" PartName="/xl/charts/colors22.xml"/>
  <Override ContentType="application/vnd.ms-office.chartcolorstyle+xml" PartName="/xl/charts/colors23.xml"/>
  <Override ContentType="application/vnd.ms-office.chartcolorstyle+xml" PartName="/xl/charts/colors24.xml"/>
  <Override ContentType="application/vnd.ms-office.chartcolorstyle+xml" PartName="/xl/charts/colors25.xml"/>
  <Override ContentType="application/vnd.ms-office.chartcolorstyle+xml" PartName="/xl/charts/colors26.xml"/>
  <Override ContentType="application/vnd.ms-office.chartcolorstyle+xml" PartName="/xl/charts/colors27.xml"/>
  <Override ContentType="application/vnd.ms-office.chartcolorstyle+xml" PartName="/xl/charts/colors28.xml"/>
  <Override ContentType="application/vnd.ms-office.chartcolorstyle+xml" PartName="/xl/charts/colors29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ms-office.chartstyle+xml" PartName="/xl/charts/style9.xml"/>
  <Override ContentType="application/vnd.ms-office.chartstyle+xml" PartName="/xl/charts/style10.xml"/>
  <Override ContentType="application/vnd.ms-office.chartstyle+xml" PartName="/xl/charts/style11.xml"/>
  <Override ContentType="application/vnd.ms-office.chartstyle+xml" PartName="/xl/charts/style12.xml"/>
  <Override ContentType="application/vnd.ms-office.chartstyle+xml" PartName="/xl/charts/style13.xml"/>
  <Override ContentType="application/vnd.ms-office.chartstyle+xml" PartName="/xl/charts/style14.xml"/>
  <Override ContentType="application/vnd.ms-office.chartstyle+xml" PartName="/xl/charts/style15.xml"/>
  <Override ContentType="application/vnd.ms-office.chartstyle+xml" PartName="/xl/charts/style16.xml"/>
  <Override ContentType="application/vnd.ms-office.chartstyle+xml" PartName="/xl/charts/style17.xml"/>
  <Override ContentType="application/vnd.ms-office.chartstyle+xml" PartName="/xl/charts/style18.xml"/>
  <Override ContentType="application/vnd.ms-office.chartstyle+xml" PartName="/xl/charts/style19.xml"/>
  <Override ContentType="application/vnd.ms-office.chartstyle+xml" PartName="/xl/charts/style20.xml"/>
  <Override ContentType="application/vnd.ms-office.chartstyle+xml" PartName="/xl/charts/style21.xml"/>
  <Override ContentType="application/vnd.ms-office.chartstyle+xml" PartName="/xl/charts/style22.xml"/>
  <Override ContentType="application/vnd.ms-office.chartstyle+xml" PartName="/xl/charts/style23.xml"/>
  <Override ContentType="application/vnd.ms-office.chartstyle+xml" PartName="/xl/charts/style24.xml"/>
  <Override ContentType="application/vnd.ms-office.chartstyle+xml" PartName="/xl/charts/style25.xml"/>
  <Override ContentType="application/vnd.ms-office.chartstyle+xml" PartName="/xl/charts/style26.xml"/>
  <Override ContentType="application/vnd.ms-office.chartstyle+xml" PartName="/xl/charts/style27.xml"/>
  <Override ContentType="application/vnd.ms-office.chartstyle+xml" PartName="/xl/charts/style28.xml"/>
  <Override ContentType="application/vnd.ms-office.chartstyle+xml" PartName="/xl/charts/style29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drawingml.chartshapes+xml" PartName="/xl/drawings/drawing9.xml"/>
  <Override ContentType="application/vnd.openxmlformats-officedocument.drawing+xml" PartName="/xl/drawings/drawing10.xml"/>
  <Override ContentType="application/vnd.openxmlformats-officedocument.drawing+xml" PartName="/xl/drawings/drawing11.xml"/>
  <Override ContentType="application/vnd.openxmlformats-officedocument.drawing+xml" PartName="/xl/drawings/drawing12.xml"/>
  <Override ContentType="application/vnd.openxmlformats-officedocument.drawing+xml" PartName="/xl/drawings/drawing13.xml"/>
  <Override ContentType="application/vnd.openxmlformats-officedocument.drawing+xml" PartName="/xl/drawings/drawing14.xml"/>
  <Override ContentType="application/vnd.openxmlformats-officedocument.drawing+xml" PartName="/xl/drawings/drawing15.xml"/>
  <Override ContentType="application/vnd.openxmlformats-officedocument.drawing+xml" PartName="/xl/drawings/drawing16.xml"/>
  <Override ContentType="application/vnd.openxmlformats-officedocument.drawing+xml" PartName="/xl/drawings/drawing17.xml"/>
  <Override ContentType="application/vnd.openxmlformats-officedocument.drawing+xml" PartName="/xl/drawings/drawing18.xml"/>
  <Override ContentType="application/vnd.openxmlformats-officedocument.drawing+xml" PartName="/xl/drawings/drawing19.xml"/>
  <Override ContentType="application/vnd.openxmlformats-officedocument.drawingml.chartshapes+xml" PartName="/xl/drawings/drawing20.xml"/>
  <Override ContentType="application/vnd.openxmlformats-officedocument.drawing+xml" PartName="/xl/drawings/drawing21.xml"/>
  <Override ContentType="application/vnd.openxmlformats-officedocument.drawing+xml" PartName="/xl/drawings/drawing22.xml"/>
  <Override ContentType="application/vnd.openxmlformats-officedocument.drawing+xml" PartName="/xl/drawings/drawing23.xml"/>
  <Override ContentType="application/vnd.openxmlformats-officedocument.drawing+xml" PartName="/xl/drawings/drawing24.xml"/>
  <Override ContentType="application/vnd.openxmlformats-officedocument.drawing+xml" PartName="/xl/drawings/drawing25.xml"/>
  <Override ContentType="application/vnd.openxmlformats-officedocument.drawing+xml" PartName="/xl/drawings/drawing26.xml"/>
  <Override ContentType="application/vnd.openxmlformats-officedocument.drawing+xml" PartName="/xl/drawings/drawing27.xml"/>
  <Override ContentType="application/vnd.openxmlformats-officedocument.drawing+xml" PartName="/xl/drawings/drawing28.xml"/>
  <Override ContentType="application/vnd.openxmlformats-officedocument.drawing+xml" PartName="/xl/drawings/drawing29.xml"/>
  <Override ContentType="application/vnd.openxmlformats-officedocument.drawing+xml" PartName="/xl/drawings/drawing30.xml"/>
  <Override ContentType="application/vnd.openxmlformats-officedocument.drawing+xml" PartName="/xl/drawings/drawing31.xml"/>
  <Override ContentType="application/vnd.openxmlformats-officedocument.drawing+xml" PartName="/xl/drawings/drawing32.xml"/>
  <Override ContentType="application/vnd.openxmlformats-officedocument.drawing+xml" PartName="/xl/drawings/drawing33.xml"/>
  <Override ContentType="application/vnd.openxmlformats-officedocument.drawing+xml" PartName="/xl/drawings/drawing34.xml"/>
  <Override ContentType="application/vnd.openxmlformats-officedocument.drawing+xml" PartName="/xl/drawings/drawing3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spreadsheetml.worksheet+xml" PartName="/xl/worksheets/sheet26.xml"/>
  <Override ContentType="application/vnd.openxmlformats-officedocument.spreadsheetml.worksheet+xml" PartName="/xl/worksheets/sheet27.xml"/>
  <Override ContentType="application/vnd.openxmlformats-officedocument.spreadsheetml.worksheet+xml" PartName="/xl/worksheets/sheet28.xml"/>
  <Override ContentType="application/vnd.openxmlformats-officedocument.spreadsheetml.worksheet+xml" PartName="/xl/worksheets/sheet29.xml"/>
  <Override ContentType="application/vnd.openxmlformats-officedocument.spreadsheetml.worksheet+xml" PartName="/xl/worksheets/sheet30.xml"/>
  <Override ContentType="application/vnd.openxmlformats-officedocument.spreadsheetml.worksheet+xml" PartName="/xl/worksheets/sheet31.xml"/>
  <Override ContentType="application/vnd.openxmlformats-officedocument.spreadsheetml.worksheet+xml" PartName="/xl/worksheets/sheet32.xml"/>
  <Override ContentType="application/vnd.openxmlformats-officedocument.spreadsheetml.worksheet+xml" PartName="/xl/worksheets/sheet33.xml"/>
  <Override ContentType="application/vnd.openxmlformats-officedocument.spreadsheetml.worksheet+xml" PartName="/xl/worksheets/sheet34.xml"/>
  <Override ContentType="application/vnd.openxmlformats-officedocument.spreadsheetml.worksheet+xml" PartName="/xl/worksheets/sheet35.xml"/>
  <Override ContentType="application/vnd.openxmlformats-officedocument.spreadsheetml.worksheet+xml" PartName="/xl/worksheets/sheet36.xml"/>
  <Override ContentType="application/vnd.openxmlformats-officedocument.spreadsheetml.worksheet+xml" PartName="/xl/worksheets/sheet37.xml"/>
  <Override ContentType="application/vnd.openxmlformats-officedocument.spreadsheetml.worksheet+xml" PartName="/xl/worksheets/sheet38.xml"/>
  <Override ContentType="application/vnd.openxmlformats-officedocument.spreadsheetml.worksheet+xml" PartName="/xl/worksheets/sheet39.xml"/>
  <Override ContentType="application/vnd.openxmlformats-officedocument.spreadsheetml.worksheet+xml" PartName="/xl/worksheets/sheet40.xml"/>
  <Override ContentType="application/vnd.openxmlformats-officedocument.spreadsheetml.worksheet+xml" PartName="/xl/worksheets/sheet41.xml"/>
  <Override ContentType="application/vnd.openxmlformats-officedocument.spreadsheetml.worksheet+xml" PartName="/xl/worksheets/sheet42.xml"/>
  <Override ContentType="application/vnd.openxmlformats-officedocument.spreadsheetml.worksheet+xml" PartName="/xl/worksheets/sheet43.xml"/>
  <Override ContentType="application/vnd.openxmlformats-officedocument.spreadsheetml.worksheet+xml" PartName="/xl/worksheets/sheet44.xml"/>
  <Override ContentType="application/vnd.openxmlformats-officedocument.spreadsheetml.worksheet+xml" PartName="/xl/worksheets/sheet45.xml"/>
  <Override ContentType="application/vnd.openxmlformats-officedocument.spreadsheetml.worksheet+xml" PartName="/xl/worksheets/sheet46.xml"/>
  <Override ContentType="application/vnd.openxmlformats-officedocument.spreadsheetml.worksheet+xml" PartName="/xl/worksheets/sheet47.xml"/>
  <Override ContentType="application/vnd.openxmlformats-officedocument.spreadsheetml.worksheet+xml" PartName="/xl/worksheets/sheet48.xml"/>
  <Override ContentType="application/vnd.openxmlformats-officedocument.spreadsheetml.worksheet+xml" PartName="/xl/worksheets/sheet49.xml"/>
  <Override ContentType="application/vnd.openxmlformats-officedocument.spreadsheetml.worksheet+xml" PartName="/xl/worksheets/sheet50.xml"/>
  <Override ContentType="application/vnd.openxmlformats-officedocument.spreadsheetml.worksheet+xml" PartName="/xl/worksheets/sheet51.xml"/>
  <Override ContentType="application/vnd.openxmlformats-officedocument.spreadsheetml.worksheet+xml" PartName="/xl/worksheets/sheet52.xml"/>
  <Override ContentType="application/vnd.openxmlformats-officedocument.spreadsheetml.worksheet+xml" PartName="/xl/worksheets/sheet53.xml"/>
  <Override ContentType="application/vnd.openxmlformats-officedocument.spreadsheetml.worksheet+xml" PartName="/xl/worksheets/sheet54.xml"/>
  <Override ContentType="application/vnd.openxmlformats-officedocument.spreadsheetml.worksheet+xml" PartName="/xl/worksheets/sheet55.xml"/>
  <Override ContentType="application/vnd.openxmlformats-officedocument.spreadsheetml.worksheet+xml" PartName="/xl/worksheets/sheet56.xml"/>
  <Override ContentType="application/vnd.openxmlformats-officedocument.spreadsheetml.worksheet+xml" PartName="/xl/worksheets/sheet57.xml"/>
  <Override ContentType="application/vnd.openxmlformats-officedocument.spreadsheetml.worksheet+xml" PartName="/xl/worksheets/sheet58.xml"/>
  <Override ContentType="application/vnd.openxmlformats-officedocument.spreadsheetml.worksheet+xml" PartName="/xl/worksheets/sheet59.xml"/>
  <Override ContentType="application/vnd.openxmlformats-officedocument.spreadsheetml.worksheet+xml" PartName="/xl/worksheets/sheet60.xml"/>
  <Override ContentType="application/vnd.openxmlformats-officedocument.spreadsheetml.worksheet+xml" PartName="/xl/worksheets/sheet61.xml"/>
  <Override ContentType="application/vnd.openxmlformats-officedocument.spreadsheetml.worksheet+xml" PartName="/xl/worksheets/sheet62.xml"/>
  <Override ContentType="application/vnd.openxmlformats-officedocument.spreadsheetml.worksheet+xml" PartName="/xl/worksheets/sheet63.xml"/>
  <Override ContentType="application/vnd.openxmlformats-officedocument.spreadsheetml.worksheet+xml" PartName="/xl/worksheets/sheet64.xml"/>
  <Override ContentType="application/vnd.openxmlformats-officedocument.spreadsheetml.worksheet+xml" PartName="/xl/worksheets/sheet65.xml"/>
  <Override ContentType="application/vnd.openxmlformats-officedocument.spreadsheetml.worksheet+xml" PartName="/xl/worksheets/sheet66.xml"/>
  <Override ContentType="application/vnd.openxmlformats-officedocument.spreadsheetml.worksheet+xml" PartName="/xl/worksheets/sheet67.xml"/>
  <Override ContentType="application/vnd.openxmlformats-officedocument.spreadsheetml.worksheet+xml" PartName="/xl/worksheets/sheet68.xml"/>
  <Override ContentType="application/vnd.openxmlformats-officedocument.spreadsheetml.worksheet+xml" PartName="/xl/worksheets/sheet69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\Compendio_2018\"/>
    </mc:Choice>
  </mc:AlternateContent>
  <xr:revisionPtr revIDLastSave="0" documentId="13_ncr:1_{69939FD6-0834-4173-BDEE-8C4F057315F5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Compendio de Vivienda 2018" sheetId="107" r:id="rId1"/>
    <sheet name="Capitulo 1" sheetId="1" r:id="rId2"/>
    <sheet name="c1 " sheetId="128" r:id="rId3"/>
    <sheet name="c2" sheetId="8" r:id="rId4"/>
    <sheet name="c3" sheetId="10" r:id="rId5"/>
    <sheet name="c4" sheetId="125" r:id="rId6"/>
    <sheet name="c5" sheetId="6" r:id="rId7"/>
    <sheet name="Capitulo 2" sheetId="14" r:id="rId8"/>
    <sheet name="c6" sheetId="23" r:id="rId9"/>
    <sheet name="c7" sheetId="20" r:id="rId10"/>
    <sheet name="c8" sheetId="131" r:id="rId11"/>
    <sheet name="c9" sheetId="132" r:id="rId12"/>
    <sheet name="c10" sheetId="25" r:id="rId13"/>
    <sheet name="c11" sheetId="26" r:id="rId14"/>
    <sheet name="Capitulo 3" sheetId="28" r:id="rId15"/>
    <sheet name="c12 g1" sheetId="29" r:id="rId16"/>
    <sheet name="c13" sheetId="147" r:id="rId17"/>
    <sheet name="c14" sheetId="30" r:id="rId18"/>
    <sheet name="c15" sheetId="145" r:id="rId19"/>
    <sheet name="c16" sheetId="31" r:id="rId20"/>
    <sheet name="c17" sheetId="32" r:id="rId21"/>
    <sheet name="c18" sheetId="33" r:id="rId22"/>
    <sheet name="c19" sheetId="36" r:id="rId23"/>
    <sheet name="c20" sheetId="37" r:id="rId24"/>
    <sheet name="c21" sheetId="38" r:id="rId25"/>
    <sheet name="c22" sheetId="39" r:id="rId26"/>
    <sheet name="c23" sheetId="40" r:id="rId27"/>
    <sheet name="c24" sheetId="42" r:id="rId28"/>
    <sheet name="c25" sheetId="116" r:id="rId29"/>
    <sheet name="c26" sheetId="118" r:id="rId30"/>
    <sheet name="c27" sheetId="146" r:id="rId31"/>
    <sheet name="c28" sheetId="51" r:id="rId32"/>
    <sheet name="c29" sheetId="117" r:id="rId33"/>
    <sheet name="c30" sheetId="126" r:id="rId34"/>
    <sheet name="Capitulo 4" sheetId="55" r:id="rId35"/>
    <sheet name="c31 g3" sheetId="56" r:id="rId36"/>
    <sheet name="c32" sheetId="58" r:id="rId37"/>
    <sheet name="c33" sheetId="60" r:id="rId38"/>
    <sheet name="c34" sheetId="61" r:id="rId39"/>
    <sheet name="c35" sheetId="62" r:id="rId40"/>
    <sheet name="c36" sheetId="121" r:id="rId41"/>
    <sheet name="c37" sheetId="148" r:id="rId42"/>
    <sheet name="c38" sheetId="122" r:id="rId43"/>
    <sheet name="c39" sheetId="67" r:id="rId44"/>
    <sheet name="c40" sheetId="68" r:id="rId45"/>
    <sheet name="c41" sheetId="69" r:id="rId46"/>
    <sheet name="c42" sheetId="70" r:id="rId47"/>
    <sheet name="c43" sheetId="71" r:id="rId48"/>
    <sheet name="c44" sheetId="72" r:id="rId49"/>
    <sheet name="c45" sheetId="73" r:id="rId50"/>
    <sheet name="c46" sheetId="74" r:id="rId51"/>
    <sheet name="c47" sheetId="76" r:id="rId52"/>
    <sheet name="c48" sheetId="77" r:id="rId53"/>
    <sheet name="c49" sheetId="78" r:id="rId54"/>
    <sheet name="c50" sheetId="79" r:id="rId55"/>
    <sheet name="c51" sheetId="80" r:id="rId56"/>
    <sheet name="c52" sheetId="81" r:id="rId57"/>
    <sheet name="c53" sheetId="82" r:id="rId58"/>
    <sheet name="c54" sheetId="149" r:id="rId59"/>
    <sheet name="Capitulo 5" sheetId="142" r:id="rId60"/>
    <sheet name="c55" sheetId="137" r:id="rId61"/>
    <sheet name="c56" sheetId="138" r:id="rId62"/>
    <sheet name="c57" sheetId="139" r:id="rId63"/>
    <sheet name="c58" sheetId="140" r:id="rId64"/>
    <sheet name="c59" sheetId="141" r:id="rId65"/>
    <sheet name="c60" sheetId="143" r:id="rId66"/>
    <sheet name="c61" sheetId="136" r:id="rId67"/>
    <sheet name="c62" sheetId="144" r:id="rId68"/>
    <sheet name="ESRI_MAPINFO_SHEET" sheetId="150" state="veryHidden" r:id="rId69"/>
  </sheets>
  <definedNames>
    <definedName name="_xlnm._FilterDatabase" localSheetId="51" hidden="1">'c47'!$F$3:$F$22</definedName>
    <definedName name="_xlnm._FilterDatabase" localSheetId="52" hidden="1">'c48'!$F$3:$F$63</definedName>
    <definedName name="_xlnm.Print_Area" localSheetId="2">'c1 '!$B$1:$B$26</definedName>
    <definedName name="_xlnm.Print_Area" localSheetId="12">'c10'!$B$17:$B$52</definedName>
    <definedName name="_xlnm.Print_Area" localSheetId="13">'c11'!$B$1:$F$5</definedName>
    <definedName name="_xlnm.Print_Area" localSheetId="15">'c12 g1'!$B$1:$E$30</definedName>
    <definedName name="_xlnm.Print_Area" localSheetId="16">'c13'!$B$1:$E$42</definedName>
    <definedName name="_xlnm.Print_Area" localSheetId="17">'c14'!#REF!</definedName>
    <definedName name="_xlnm.Print_Area" localSheetId="18">'c15'!#REF!</definedName>
    <definedName name="_xlnm.Print_Area" localSheetId="19">'c16'!$B$115:$C$152</definedName>
    <definedName name="_xlnm.Print_Area" localSheetId="20">'c17'!#REF!</definedName>
    <definedName name="_xlnm.Print_Area" localSheetId="22">'c19'!$B$2:$F$47</definedName>
    <definedName name="_xlnm.Print_Area" localSheetId="3">'c2'!$B$1:$G$12</definedName>
    <definedName name="_xlnm.Print_Area" localSheetId="23">'c20'!$A$49:$E$69</definedName>
    <definedName name="_xlnm.Print_Area" localSheetId="25">'c22'!$B$54:$G$75</definedName>
    <definedName name="_xlnm.Print_Area" localSheetId="26">'c23'!$B$1:$K$7</definedName>
    <definedName name="_xlnm.Print_Area" localSheetId="27">'c24'!$B$2:$H$55</definedName>
    <definedName name="_xlnm.Print_Area" localSheetId="28">'c25'!$B$2:$F$62</definedName>
    <definedName name="_xlnm.Print_Area" localSheetId="29">'c26'!$B$2:$F$55</definedName>
    <definedName name="_xlnm.Print_Area" localSheetId="30">'c27'!$B$2:$F$48</definedName>
    <definedName name="_xlnm.Print_Area" localSheetId="6">'c5'!$B$1:$D$11</definedName>
    <definedName name="_xlnm.Print_Area" localSheetId="8">'c6'!$B$1:$Q$105</definedName>
    <definedName name="_xlnm.Print_Area" localSheetId="9">'c7'!$B$90:$E$125</definedName>
    <definedName name="_xlnm.Print_Area" localSheetId="10">'c8'!$B$90:$F$125</definedName>
    <definedName name="_xlnm.Print_Area" localSheetId="11">'c9'!$B$90:$E$125</definedName>
    <definedName name="Notas229" localSheetId="2">'c1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28" l="1"/>
  <c r="E9" i="128"/>
  <c r="E10" i="128"/>
  <c r="E11" i="128"/>
  <c r="E12" i="128"/>
  <c r="E13" i="128"/>
  <c r="E14" i="128"/>
  <c r="E15" i="128"/>
  <c r="E16" i="128"/>
  <c r="E17" i="128"/>
  <c r="E18" i="128"/>
  <c r="E19" i="128"/>
  <c r="E20" i="128"/>
  <c r="E21" i="128"/>
  <c r="E22" i="128"/>
  <c r="E23" i="128"/>
  <c r="E24" i="128"/>
  <c r="E7" i="128"/>
  <c r="K9" i="40" l="1"/>
  <c r="K10" i="40"/>
  <c r="K11" i="40"/>
  <c r="K12" i="40"/>
  <c r="K13" i="40"/>
  <c r="K8" i="40"/>
  <c r="E7" i="25" l="1"/>
  <c r="E8" i="25"/>
  <c r="E9" i="25"/>
  <c r="E10" i="25"/>
  <c r="E11" i="25"/>
  <c r="E12" i="25"/>
  <c r="E13" i="25"/>
  <c r="E6" i="25"/>
  <c r="M7" i="149"/>
  <c r="M6" i="149"/>
  <c r="E7" i="74"/>
  <c r="D7" i="74"/>
  <c r="D6" i="74"/>
  <c r="C6" i="74" s="1"/>
  <c r="C13" i="73"/>
  <c r="C12" i="73"/>
  <c r="C11" i="73"/>
  <c r="C10" i="73"/>
  <c r="C9" i="73"/>
  <c r="C8" i="73"/>
  <c r="C6" i="73"/>
  <c r="C7" i="73"/>
  <c r="C5" i="73"/>
  <c r="C13" i="72"/>
  <c r="C12" i="72"/>
  <c r="C11" i="72"/>
  <c r="C10" i="72"/>
  <c r="E11" i="74" s="1"/>
  <c r="C9" i="72"/>
  <c r="C8" i="72"/>
  <c r="C7" i="72"/>
  <c r="E8" i="74" s="1"/>
  <c r="C6" i="72"/>
  <c r="C5" i="72"/>
  <c r="C13" i="71"/>
  <c r="E14" i="74" s="1"/>
  <c r="C12" i="71"/>
  <c r="E13" i="74" s="1"/>
  <c r="C11" i="71"/>
  <c r="E12" i="74" s="1"/>
  <c r="C10" i="71"/>
  <c r="C9" i="71"/>
  <c r="E10" i="74" s="1"/>
  <c r="C8" i="71"/>
  <c r="E9" i="74" s="1"/>
  <c r="C7" i="71"/>
  <c r="C6" i="71"/>
  <c r="C5" i="71"/>
  <c r="E6" i="74" s="1"/>
  <c r="C13" i="70"/>
  <c r="C12" i="70"/>
  <c r="C11" i="70"/>
  <c r="C10" i="70"/>
  <c r="C9" i="70"/>
  <c r="D10" i="74" s="1"/>
  <c r="C8" i="70"/>
  <c r="C7" i="70"/>
  <c r="C6" i="70"/>
  <c r="C5" i="70"/>
  <c r="C13" i="69"/>
  <c r="D14" i="74" s="1"/>
  <c r="C14" i="74" s="1"/>
  <c r="C12" i="69"/>
  <c r="D13" i="74" s="1"/>
  <c r="C11" i="69"/>
  <c r="D12" i="74" s="1"/>
  <c r="C12" i="74" s="1"/>
  <c r="G12" i="74" s="1"/>
  <c r="C10" i="69"/>
  <c r="D11" i="74" s="1"/>
  <c r="C9" i="69"/>
  <c r="C8" i="69"/>
  <c r="D9" i="74" s="1"/>
  <c r="C7" i="69"/>
  <c r="D8" i="74" s="1"/>
  <c r="C6" i="69"/>
  <c r="C5" i="69"/>
  <c r="K5" i="68"/>
  <c r="J5" i="68"/>
  <c r="I5" i="68"/>
  <c r="H5" i="68"/>
  <c r="G5" i="68"/>
  <c r="F5" i="68"/>
  <c r="D5" i="68"/>
  <c r="E5" i="68"/>
  <c r="C5" i="68"/>
  <c r="K5" i="67"/>
  <c r="J5" i="67"/>
  <c r="I5" i="67"/>
  <c r="H5" i="67"/>
  <c r="G5" i="67"/>
  <c r="F5" i="67"/>
  <c r="E5" i="67"/>
  <c r="D5" i="67"/>
  <c r="C5" i="67"/>
  <c r="H12" i="51"/>
  <c r="H7" i="51"/>
  <c r="M8" i="149"/>
  <c r="M9" i="149"/>
  <c r="M10" i="149"/>
  <c r="M11" i="149"/>
  <c r="M12" i="149"/>
  <c r="M13" i="149"/>
  <c r="M14" i="149"/>
  <c r="M15" i="149"/>
  <c r="M16" i="149"/>
  <c r="M17" i="149"/>
  <c r="M18" i="149"/>
  <c r="M19" i="149"/>
  <c r="M20" i="149"/>
  <c r="M21" i="149"/>
  <c r="M22" i="149"/>
  <c r="M23" i="149"/>
  <c r="M24" i="149"/>
  <c r="M25" i="149"/>
  <c r="M26" i="149"/>
  <c r="M27" i="149"/>
  <c r="M28" i="149"/>
  <c r="M29" i="149"/>
  <c r="M30" i="149"/>
  <c r="M31" i="149"/>
  <c r="M32" i="149"/>
  <c r="M33" i="149"/>
  <c r="M34" i="149"/>
  <c r="M35" i="149"/>
  <c r="M36" i="149"/>
  <c r="M37" i="149"/>
  <c r="M38" i="149"/>
  <c r="M39" i="149"/>
  <c r="M40" i="149"/>
  <c r="M41" i="149"/>
  <c r="M42" i="149"/>
  <c r="M43" i="149"/>
  <c r="M44" i="149"/>
  <c r="M45" i="149"/>
  <c r="M46" i="149"/>
  <c r="M47" i="149"/>
  <c r="M48" i="149"/>
  <c r="M49" i="149"/>
  <c r="M50" i="149"/>
  <c r="M51" i="149"/>
  <c r="M52" i="149"/>
  <c r="M53" i="149"/>
  <c r="M54" i="149"/>
  <c r="M55" i="149"/>
  <c r="M56" i="149"/>
  <c r="M57" i="149"/>
  <c r="M58" i="149"/>
  <c r="M59" i="149"/>
  <c r="M60" i="149"/>
  <c r="M61" i="149"/>
  <c r="M62" i="149"/>
  <c r="M63" i="149"/>
  <c r="M64" i="149"/>
  <c r="M65" i="149"/>
  <c r="M66" i="149"/>
  <c r="M67" i="149"/>
  <c r="M68" i="149"/>
  <c r="M69" i="149"/>
  <c r="M70" i="149"/>
  <c r="M71" i="149"/>
  <c r="M72" i="149"/>
  <c r="M73" i="149"/>
  <c r="M74" i="149"/>
  <c r="M75" i="149"/>
  <c r="M76" i="149"/>
  <c r="M77" i="149"/>
  <c r="M78" i="149"/>
  <c r="M79" i="149"/>
  <c r="M80" i="149"/>
  <c r="M81" i="149"/>
  <c r="M82" i="149"/>
  <c r="M83" i="149"/>
  <c r="M84" i="149"/>
  <c r="M85" i="149"/>
  <c r="M86" i="149"/>
  <c r="M87" i="149"/>
  <c r="M88" i="149"/>
  <c r="M89" i="149"/>
  <c r="M90" i="149"/>
  <c r="M91" i="149"/>
  <c r="M92" i="149"/>
  <c r="M93" i="149"/>
  <c r="M94" i="149"/>
  <c r="M95" i="149"/>
  <c r="M96" i="149"/>
  <c r="M97" i="149"/>
  <c r="M98" i="149"/>
  <c r="M99" i="149"/>
  <c r="M100" i="149"/>
  <c r="M101" i="149"/>
  <c r="M102" i="149"/>
  <c r="M103" i="149"/>
  <c r="M104" i="149"/>
  <c r="M105" i="149"/>
  <c r="M106" i="149"/>
  <c r="M107" i="149"/>
  <c r="M108" i="149"/>
  <c r="M109" i="149"/>
  <c r="M110" i="149"/>
  <c r="M111" i="149"/>
  <c r="M112" i="149"/>
  <c r="M113" i="149"/>
  <c r="M114" i="149"/>
  <c r="M115" i="149"/>
  <c r="M116" i="149"/>
  <c r="M117" i="149"/>
  <c r="M118" i="149"/>
  <c r="M119" i="149"/>
  <c r="M120" i="149"/>
  <c r="M121" i="149"/>
  <c r="M122" i="149"/>
  <c r="M123" i="149"/>
  <c r="M124" i="149"/>
  <c r="M125" i="149"/>
  <c r="M126" i="149"/>
  <c r="M127" i="149"/>
  <c r="M128" i="149"/>
  <c r="M129" i="149"/>
  <c r="M130" i="149"/>
  <c r="M131" i="149"/>
  <c r="M132" i="149"/>
  <c r="M133" i="149"/>
  <c r="M134" i="149"/>
  <c r="M135" i="149"/>
  <c r="M136" i="149"/>
  <c r="M137" i="149"/>
  <c r="M138" i="149"/>
  <c r="M139" i="149"/>
  <c r="M140" i="149"/>
  <c r="M141" i="149"/>
  <c r="M142" i="149"/>
  <c r="M143" i="149"/>
  <c r="M144" i="149"/>
  <c r="M145" i="149"/>
  <c r="M146" i="149"/>
  <c r="M147" i="149"/>
  <c r="M148" i="149"/>
  <c r="M149" i="149"/>
  <c r="M150" i="149"/>
  <c r="M151" i="149"/>
  <c r="M152" i="149"/>
  <c r="M153" i="149"/>
  <c r="M154" i="149"/>
  <c r="M155" i="149"/>
  <c r="M156" i="149"/>
  <c r="M157" i="149"/>
  <c r="M158" i="149"/>
  <c r="M159" i="149"/>
  <c r="M160" i="149"/>
  <c r="M161" i="149"/>
  <c r="M162" i="149"/>
  <c r="M163" i="149"/>
  <c r="M164" i="149"/>
  <c r="M165" i="149"/>
  <c r="M166" i="149"/>
  <c r="M167" i="149"/>
  <c r="M168" i="149"/>
  <c r="M169" i="149"/>
  <c r="M170" i="149"/>
  <c r="M171" i="149"/>
  <c r="M172" i="149"/>
  <c r="M173" i="149"/>
  <c r="M174" i="149"/>
  <c r="M175" i="149"/>
  <c r="M176" i="149"/>
  <c r="M177" i="149"/>
  <c r="M178" i="149"/>
  <c r="M179" i="149"/>
  <c r="M180" i="149"/>
  <c r="M181" i="149"/>
  <c r="M182" i="149"/>
  <c r="M183" i="149"/>
  <c r="M184" i="149"/>
  <c r="M185" i="149"/>
  <c r="M186" i="149"/>
  <c r="M187" i="149"/>
  <c r="M188" i="149"/>
  <c r="M189" i="149"/>
  <c r="M190" i="149"/>
  <c r="M191" i="149"/>
  <c r="M192" i="149"/>
  <c r="M193" i="149"/>
  <c r="M194" i="149"/>
  <c r="M195" i="149"/>
  <c r="M196" i="149"/>
  <c r="M197" i="149"/>
  <c r="M198" i="149"/>
  <c r="M199" i="149"/>
  <c r="M200" i="149"/>
  <c r="M201" i="149"/>
  <c r="M202" i="149"/>
  <c r="M203" i="149"/>
  <c r="M204" i="149"/>
  <c r="M205" i="149"/>
  <c r="M206" i="149"/>
  <c r="M207" i="149"/>
  <c r="M208" i="149"/>
  <c r="M209" i="149"/>
  <c r="M210" i="149"/>
  <c r="M211" i="149"/>
  <c r="M212" i="149"/>
  <c r="M213" i="149"/>
  <c r="M214" i="149"/>
  <c r="M215" i="149"/>
  <c r="M216" i="149"/>
  <c r="M217" i="149"/>
  <c r="M218" i="149"/>
  <c r="M219" i="149"/>
  <c r="M220" i="149"/>
  <c r="M221" i="149"/>
  <c r="M222" i="149"/>
  <c r="M223" i="149"/>
  <c r="M224" i="149"/>
  <c r="M225" i="149"/>
  <c r="M226" i="149"/>
  <c r="M227" i="149"/>
  <c r="M228" i="149"/>
  <c r="M229" i="149"/>
  <c r="M230" i="149"/>
  <c r="M231" i="149"/>
  <c r="M232" i="149"/>
  <c r="M233" i="149"/>
  <c r="M234" i="149"/>
  <c r="M235" i="149"/>
  <c r="M236" i="149"/>
  <c r="M237" i="149"/>
  <c r="M238" i="149"/>
  <c r="M239" i="149"/>
  <c r="M240" i="149"/>
  <c r="M241" i="149"/>
  <c r="M242" i="149"/>
  <c r="M243" i="149"/>
  <c r="M244" i="149"/>
  <c r="M245" i="149"/>
  <c r="M246" i="149"/>
  <c r="M247" i="149"/>
  <c r="M248" i="149"/>
  <c r="M249" i="149"/>
  <c r="M250" i="149"/>
  <c r="M251" i="149"/>
  <c r="M252" i="149"/>
  <c r="M253" i="149"/>
  <c r="M254" i="149"/>
  <c r="M255" i="149"/>
  <c r="M256" i="149"/>
  <c r="M257" i="149"/>
  <c r="M258" i="149"/>
  <c r="M259" i="149"/>
  <c r="M260" i="149"/>
  <c r="M261" i="149"/>
  <c r="M262" i="149"/>
  <c r="M263" i="149"/>
  <c r="M264" i="149"/>
  <c r="M265" i="149"/>
  <c r="M266" i="149"/>
  <c r="M267" i="149"/>
  <c r="M268" i="149"/>
  <c r="M269" i="149"/>
  <c r="M270" i="149"/>
  <c r="M271" i="149"/>
  <c r="M272" i="149"/>
  <c r="M273" i="149"/>
  <c r="M274" i="149"/>
  <c r="M275" i="149"/>
  <c r="M276" i="149"/>
  <c r="M277" i="149"/>
  <c r="M278" i="149"/>
  <c r="M279" i="149"/>
  <c r="M280" i="149"/>
  <c r="M281" i="149"/>
  <c r="M282" i="149"/>
  <c r="M283" i="149"/>
  <c r="M284" i="149"/>
  <c r="M285" i="149"/>
  <c r="M286" i="149"/>
  <c r="M287" i="149"/>
  <c r="M288" i="149"/>
  <c r="M289" i="149"/>
  <c r="M290" i="149"/>
  <c r="M291" i="149"/>
  <c r="M292" i="149"/>
  <c r="M293" i="149"/>
  <c r="M294" i="149"/>
  <c r="M295" i="149"/>
  <c r="M296" i="149"/>
  <c r="M297" i="149"/>
  <c r="M298" i="149"/>
  <c r="M299" i="149"/>
  <c r="M300" i="149"/>
  <c r="M301" i="149"/>
  <c r="M302" i="149"/>
  <c r="M303" i="149"/>
  <c r="M304" i="149"/>
  <c r="M305" i="149"/>
  <c r="M306" i="149"/>
  <c r="M307" i="149"/>
  <c r="M308" i="149"/>
  <c r="M309" i="149"/>
  <c r="M310" i="149"/>
  <c r="M311" i="149"/>
  <c r="M312" i="149"/>
  <c r="M313" i="149"/>
  <c r="M314" i="149"/>
  <c r="M315" i="149"/>
  <c r="M316" i="149"/>
  <c r="M317" i="149"/>
  <c r="M318" i="149"/>
  <c r="M319" i="149"/>
  <c r="M320" i="149"/>
  <c r="M321" i="149"/>
  <c r="M322" i="149"/>
  <c r="M323" i="149"/>
  <c r="M324" i="149"/>
  <c r="M325" i="149"/>
  <c r="M326" i="149"/>
  <c r="M327" i="149"/>
  <c r="M328" i="149"/>
  <c r="M329" i="149"/>
  <c r="M330" i="149"/>
  <c r="M331" i="149"/>
  <c r="M332" i="149"/>
  <c r="M333" i="149"/>
  <c r="M334" i="149"/>
  <c r="M335" i="149"/>
  <c r="M336" i="149"/>
  <c r="M337" i="149"/>
  <c r="M338" i="149"/>
  <c r="M339" i="149"/>
  <c r="M340" i="149"/>
  <c r="M341" i="149"/>
  <c r="M342" i="149"/>
  <c r="M343" i="149"/>
  <c r="M344" i="149"/>
  <c r="M345" i="149"/>
  <c r="M346" i="149"/>
  <c r="M347" i="149"/>
  <c r="M348" i="149"/>
  <c r="M349" i="149"/>
  <c r="M350" i="149"/>
  <c r="M351" i="149"/>
  <c r="M352" i="149"/>
  <c r="M353" i="149"/>
  <c r="M354" i="149"/>
  <c r="M355" i="149"/>
  <c r="M356" i="149"/>
  <c r="M357" i="149"/>
  <c r="M358" i="149"/>
  <c r="M359" i="149"/>
  <c r="M360" i="149"/>
  <c r="M361" i="149"/>
  <c r="M362" i="149"/>
  <c r="M363" i="149"/>
  <c r="M364" i="149"/>
  <c r="M365" i="149"/>
  <c r="M366" i="149"/>
  <c r="M367" i="149"/>
  <c r="M368" i="149"/>
  <c r="M369" i="149"/>
  <c r="M370" i="149"/>
  <c r="M371" i="149"/>
  <c r="M372" i="149"/>
  <c r="M373" i="149"/>
  <c r="M374" i="149"/>
  <c r="M375" i="149"/>
  <c r="M376" i="149"/>
  <c r="M377" i="149"/>
  <c r="M378" i="149"/>
  <c r="M379" i="149"/>
  <c r="M380" i="149"/>
  <c r="M381" i="149"/>
  <c r="M382" i="149"/>
  <c r="M383" i="149"/>
  <c r="M384" i="149"/>
  <c r="M385" i="149"/>
  <c r="M386" i="149"/>
  <c r="M387" i="149"/>
  <c r="M388" i="149"/>
  <c r="M389" i="149"/>
  <c r="M390" i="149"/>
  <c r="M391" i="149"/>
  <c r="M392" i="149"/>
  <c r="M393" i="149"/>
  <c r="M394" i="149"/>
  <c r="M395" i="149"/>
  <c r="M396" i="149"/>
  <c r="M397" i="149"/>
  <c r="M398" i="149"/>
  <c r="M399" i="149"/>
  <c r="M400" i="149"/>
  <c r="M401" i="149"/>
  <c r="M402" i="149"/>
  <c r="M403" i="149"/>
  <c r="M404" i="149"/>
  <c r="M405" i="149"/>
  <c r="M406" i="149"/>
  <c r="M407" i="149"/>
  <c r="M408" i="149"/>
  <c r="M409" i="149"/>
  <c r="M410" i="149"/>
  <c r="M411" i="149"/>
  <c r="M412" i="149"/>
  <c r="M413" i="149"/>
  <c r="M414" i="149"/>
  <c r="M415" i="149"/>
  <c r="M416" i="149"/>
  <c r="M417" i="149"/>
  <c r="M418" i="149"/>
  <c r="M419" i="149"/>
  <c r="M420" i="149"/>
  <c r="M421" i="149"/>
  <c r="M422" i="149"/>
  <c r="M423" i="149"/>
  <c r="M424" i="149"/>
  <c r="M425" i="149"/>
  <c r="M426" i="149"/>
  <c r="M427" i="149"/>
  <c r="M428" i="149"/>
  <c r="M429" i="149"/>
  <c r="M430" i="149"/>
  <c r="M431" i="149"/>
  <c r="M432" i="149"/>
  <c r="M433" i="149"/>
  <c r="M434" i="149"/>
  <c r="M435" i="149"/>
  <c r="M436" i="149"/>
  <c r="M437" i="149"/>
  <c r="M438" i="149"/>
  <c r="M439" i="149"/>
  <c r="M440" i="149"/>
  <c r="M441" i="149"/>
  <c r="M442" i="149"/>
  <c r="M443" i="149"/>
  <c r="M444" i="149"/>
  <c r="M445" i="149"/>
  <c r="M446" i="149"/>
  <c r="M447" i="149"/>
  <c r="M448" i="149"/>
  <c r="M449" i="149"/>
  <c r="M450" i="149"/>
  <c r="M451" i="149"/>
  <c r="M452" i="149"/>
  <c r="M453" i="149"/>
  <c r="M454" i="149"/>
  <c r="M455" i="149"/>
  <c r="M456" i="149"/>
  <c r="M457" i="149"/>
  <c r="M458" i="149"/>
  <c r="M459" i="149"/>
  <c r="M460" i="149"/>
  <c r="M461" i="149"/>
  <c r="M462" i="149"/>
  <c r="M463" i="149"/>
  <c r="M464" i="149"/>
  <c r="M465" i="149"/>
  <c r="M466" i="149"/>
  <c r="M467" i="149"/>
  <c r="M468" i="149"/>
  <c r="M469" i="149"/>
  <c r="M470" i="149"/>
  <c r="M471" i="149"/>
  <c r="M472" i="149"/>
  <c r="M473" i="149"/>
  <c r="M474" i="149"/>
  <c r="M475" i="149"/>
  <c r="M476" i="149"/>
  <c r="M477" i="149"/>
  <c r="M478" i="149"/>
  <c r="M479" i="149"/>
  <c r="M480" i="149"/>
  <c r="M481" i="149"/>
  <c r="M482" i="149"/>
  <c r="M483" i="149"/>
  <c r="M484" i="149"/>
  <c r="M485" i="149"/>
  <c r="M486" i="149"/>
  <c r="M487" i="149"/>
  <c r="M488" i="149"/>
  <c r="M489" i="149"/>
  <c r="M490" i="149"/>
  <c r="L491" i="149"/>
  <c r="K491" i="149"/>
  <c r="J491" i="149"/>
  <c r="I491" i="149"/>
  <c r="H491" i="149"/>
  <c r="G491" i="149"/>
  <c r="F491" i="149"/>
  <c r="E491" i="149"/>
  <c r="D491" i="149"/>
  <c r="C9" i="148"/>
  <c r="C7" i="148"/>
  <c r="C8" i="148"/>
  <c r="C10" i="148"/>
  <c r="C11" i="148"/>
  <c r="C12" i="148"/>
  <c r="C13" i="148"/>
  <c r="C14" i="148"/>
  <c r="C15" i="148"/>
  <c r="C16" i="148"/>
  <c r="C17" i="148"/>
  <c r="C18" i="148"/>
  <c r="C19" i="148"/>
  <c r="C6" i="148"/>
  <c r="D42" i="146"/>
  <c r="C42" i="146"/>
  <c r="F42" i="146"/>
  <c r="E43" i="146"/>
  <c r="F43" i="146"/>
  <c r="E44" i="146"/>
  <c r="F44" i="146"/>
  <c r="E45" i="146"/>
  <c r="F45" i="146"/>
  <c r="E46" i="146"/>
  <c r="F46" i="146"/>
  <c r="E42" i="146"/>
  <c r="D46" i="146"/>
  <c r="D45" i="146"/>
  <c r="D44" i="146"/>
  <c r="D43" i="146"/>
  <c r="C43" i="146"/>
  <c r="C44" i="146"/>
  <c r="C45" i="146"/>
  <c r="C46" i="146"/>
  <c r="C41" i="39"/>
  <c r="C44" i="39"/>
  <c r="C45" i="39"/>
  <c r="C40" i="39"/>
  <c r="C42" i="37"/>
  <c r="C45" i="37"/>
  <c r="C46" i="37"/>
  <c r="C41" i="37"/>
  <c r="C44" i="36"/>
  <c r="C45" i="36"/>
  <c r="C41" i="36"/>
  <c r="C40" i="36"/>
  <c r="C13" i="145"/>
  <c r="C12" i="145"/>
  <c r="C11" i="145"/>
  <c r="C10" i="145"/>
  <c r="C9" i="145"/>
  <c r="C6" i="145" s="1"/>
  <c r="C8" i="145"/>
  <c r="C7" i="145"/>
  <c r="I6" i="145"/>
  <c r="H6" i="145"/>
  <c r="G6" i="145"/>
  <c r="F6" i="145"/>
  <c r="E6" i="145"/>
  <c r="D6" i="145"/>
  <c r="E6" i="147"/>
  <c r="D14" i="147"/>
  <c r="E14" i="147"/>
  <c r="F14" i="147"/>
  <c r="G14" i="147"/>
  <c r="G6" i="147" s="1"/>
  <c r="H14" i="147"/>
  <c r="I14" i="147"/>
  <c r="I6" i="147" s="1"/>
  <c r="C14" i="147"/>
  <c r="C6" i="147" s="1"/>
  <c r="D44" i="147"/>
  <c r="E44" i="147"/>
  <c r="F44" i="147"/>
  <c r="G44" i="147"/>
  <c r="H44" i="147"/>
  <c r="I44" i="147"/>
  <c r="C44" i="147"/>
  <c r="D38" i="147"/>
  <c r="E38" i="147"/>
  <c r="F38" i="147"/>
  <c r="G38" i="147"/>
  <c r="H38" i="147"/>
  <c r="I38" i="147"/>
  <c r="C38" i="147"/>
  <c r="D32" i="147"/>
  <c r="E32" i="147"/>
  <c r="F32" i="147"/>
  <c r="G32" i="147"/>
  <c r="H32" i="147"/>
  <c r="I32" i="147"/>
  <c r="C32" i="147"/>
  <c r="D26" i="147"/>
  <c r="E26" i="147"/>
  <c r="F26" i="147"/>
  <c r="G26" i="147"/>
  <c r="H26" i="147"/>
  <c r="H6" i="147" s="1"/>
  <c r="I26" i="147"/>
  <c r="C26" i="147"/>
  <c r="D20" i="147"/>
  <c r="E20" i="147"/>
  <c r="F20" i="147"/>
  <c r="G20" i="147"/>
  <c r="H20" i="147"/>
  <c r="I20" i="147"/>
  <c r="C20" i="147"/>
  <c r="C7" i="23"/>
  <c r="C8" i="23"/>
  <c r="C9" i="23"/>
  <c r="C10" i="23"/>
  <c r="C11" i="23"/>
  <c r="C12" i="23"/>
  <c r="C13" i="23"/>
  <c r="C14" i="23"/>
  <c r="C15" i="23"/>
  <c r="C16" i="23"/>
  <c r="C17" i="23"/>
  <c r="C18" i="23"/>
  <c r="C19" i="23"/>
  <c r="C20" i="23"/>
  <c r="C21" i="23"/>
  <c r="C22" i="23"/>
  <c r="C23" i="23"/>
  <c r="C24" i="23"/>
  <c r="C25" i="23"/>
  <c r="C26" i="23"/>
  <c r="C27" i="23"/>
  <c r="C28" i="23"/>
  <c r="C29" i="23"/>
  <c r="C30" i="23"/>
  <c r="C31" i="23"/>
  <c r="C32" i="23"/>
  <c r="C33" i="23"/>
  <c r="C34" i="23"/>
  <c r="C35" i="23"/>
  <c r="C36" i="23"/>
  <c r="C37" i="23"/>
  <c r="C38" i="23"/>
  <c r="C39" i="23"/>
  <c r="C40" i="23"/>
  <c r="C41" i="23"/>
  <c r="C42" i="23"/>
  <c r="C43" i="23"/>
  <c r="C44" i="23"/>
  <c r="C45" i="23"/>
  <c r="C46" i="23"/>
  <c r="C47" i="23"/>
  <c r="C48" i="23"/>
  <c r="C49" i="23"/>
  <c r="C50" i="23"/>
  <c r="C51" i="23"/>
  <c r="C52" i="23"/>
  <c r="C53" i="23"/>
  <c r="C54" i="23"/>
  <c r="C55" i="23"/>
  <c r="C56" i="23"/>
  <c r="C57" i="23"/>
  <c r="C58" i="23"/>
  <c r="C59" i="23"/>
  <c r="C60" i="23"/>
  <c r="C61" i="23"/>
  <c r="C62" i="23"/>
  <c r="C63" i="23"/>
  <c r="C64" i="23"/>
  <c r="C65" i="23"/>
  <c r="C66" i="23"/>
  <c r="C67" i="23"/>
  <c r="C68" i="23"/>
  <c r="C69" i="23"/>
  <c r="C70" i="23"/>
  <c r="C71" i="23"/>
  <c r="C72" i="23"/>
  <c r="C73" i="23"/>
  <c r="C74" i="23"/>
  <c r="C75" i="23"/>
  <c r="C76" i="23"/>
  <c r="C77" i="23"/>
  <c r="C78" i="23"/>
  <c r="C79" i="23"/>
  <c r="C80" i="23"/>
  <c r="C81" i="23"/>
  <c r="C82" i="23"/>
  <c r="C83" i="23"/>
  <c r="C84" i="23"/>
  <c r="C85" i="23"/>
  <c r="C86" i="23"/>
  <c r="C87" i="23"/>
  <c r="D6" i="23"/>
  <c r="E6" i="23"/>
  <c r="F6" i="23"/>
  <c r="C6" i="23" s="1"/>
  <c r="G6" i="23"/>
  <c r="H6" i="23"/>
  <c r="I6" i="23"/>
  <c r="E26" i="132"/>
  <c r="E19" i="132"/>
  <c r="E5" i="131"/>
  <c r="E5" i="20"/>
  <c r="D5" i="20"/>
  <c r="C5" i="20"/>
  <c r="F77" i="20"/>
  <c r="D17" i="141"/>
  <c r="D16" i="141"/>
  <c r="D16" i="140"/>
  <c r="C17" i="140"/>
  <c r="C16" i="140"/>
  <c r="D18" i="139"/>
  <c r="D17" i="139"/>
  <c r="D9" i="138"/>
  <c r="C18" i="138"/>
  <c r="D18" i="138" s="1"/>
  <c r="C17" i="138"/>
  <c r="D17" i="138" s="1"/>
  <c r="D9" i="141"/>
  <c r="D10" i="141"/>
  <c r="D11" i="141"/>
  <c r="D12" i="141"/>
  <c r="D13" i="141"/>
  <c r="D8" i="141"/>
  <c r="D10" i="140"/>
  <c r="C5" i="140"/>
  <c r="D12" i="140" s="1"/>
  <c r="C13" i="140"/>
  <c r="D13" i="140" s="1"/>
  <c r="C12" i="140"/>
  <c r="C11" i="140"/>
  <c r="D11" i="140" s="1"/>
  <c r="C10" i="140"/>
  <c r="C9" i="140"/>
  <c r="D9" i="140" s="1"/>
  <c r="C8" i="140"/>
  <c r="D8" i="140" s="1"/>
  <c r="D10" i="139"/>
  <c r="D11" i="139"/>
  <c r="D12" i="139"/>
  <c r="D13" i="139"/>
  <c r="D14" i="139"/>
  <c r="D9" i="139"/>
  <c r="D5" i="139" s="1"/>
  <c r="D10" i="138"/>
  <c r="D11" i="138"/>
  <c r="D12" i="138"/>
  <c r="D13" i="138"/>
  <c r="D14" i="138"/>
  <c r="E7" i="6"/>
  <c r="E86" i="132"/>
  <c r="E85" i="132"/>
  <c r="E84" i="132"/>
  <c r="E83" i="132"/>
  <c r="E82" i="132"/>
  <c r="E81" i="132"/>
  <c r="E80" i="132"/>
  <c r="E79" i="132"/>
  <c r="E78" i="132"/>
  <c r="E77" i="132"/>
  <c r="E76" i="132"/>
  <c r="E75" i="132"/>
  <c r="E74" i="132"/>
  <c r="E73" i="132"/>
  <c r="E72" i="132"/>
  <c r="E71" i="132"/>
  <c r="E70" i="132"/>
  <c r="E69" i="132"/>
  <c r="E68" i="132"/>
  <c r="E67" i="132"/>
  <c r="E66" i="132"/>
  <c r="E65" i="132"/>
  <c r="E64" i="132"/>
  <c r="E63" i="132"/>
  <c r="E62" i="132"/>
  <c r="E61" i="132"/>
  <c r="E60" i="132"/>
  <c r="E59" i="132"/>
  <c r="E58" i="132"/>
  <c r="E57" i="132"/>
  <c r="E56" i="132"/>
  <c r="E55" i="132"/>
  <c r="E54" i="132"/>
  <c r="E53" i="132"/>
  <c r="E52" i="132"/>
  <c r="E51" i="132"/>
  <c r="E50" i="132"/>
  <c r="E49" i="132"/>
  <c r="E48" i="132"/>
  <c r="E47" i="132"/>
  <c r="E46" i="132"/>
  <c r="E45" i="132"/>
  <c r="E44" i="132"/>
  <c r="E43" i="132"/>
  <c r="E42" i="132"/>
  <c r="E41" i="132"/>
  <c r="E40" i="132"/>
  <c r="E39" i="132"/>
  <c r="E38" i="132"/>
  <c r="E37" i="132"/>
  <c r="E36" i="132"/>
  <c r="E35" i="132"/>
  <c r="E34" i="132"/>
  <c r="E33" i="132"/>
  <c r="E32" i="132"/>
  <c r="E31" i="132"/>
  <c r="E30" i="132"/>
  <c r="E29" i="132"/>
  <c r="E28" i="132"/>
  <c r="E27" i="132"/>
  <c r="E25" i="132"/>
  <c r="E24" i="132"/>
  <c r="E23" i="132"/>
  <c r="E22" i="132"/>
  <c r="E20" i="132"/>
  <c r="E18" i="132"/>
  <c r="E17" i="132"/>
  <c r="E16" i="132"/>
  <c r="E15" i="132"/>
  <c r="E14" i="132"/>
  <c r="E13" i="132"/>
  <c r="E12" i="132"/>
  <c r="E11" i="132"/>
  <c r="E10" i="132"/>
  <c r="E9" i="132"/>
  <c r="E8" i="132"/>
  <c r="E7" i="132"/>
  <c r="E6" i="132"/>
  <c r="D5" i="132"/>
  <c r="C5" i="132"/>
  <c r="E5" i="132" s="1"/>
  <c r="F86" i="131"/>
  <c r="F85" i="131"/>
  <c r="F84" i="131"/>
  <c r="F83" i="131"/>
  <c r="F82" i="131"/>
  <c r="F81" i="131"/>
  <c r="F80" i="131"/>
  <c r="F79" i="131"/>
  <c r="F78" i="131"/>
  <c r="F77" i="131"/>
  <c r="F76" i="131"/>
  <c r="F75" i="131"/>
  <c r="F74" i="131"/>
  <c r="F73" i="131"/>
  <c r="F72" i="131"/>
  <c r="F71" i="131"/>
  <c r="F70" i="131"/>
  <c r="F69" i="131"/>
  <c r="F68" i="131"/>
  <c r="F67" i="131"/>
  <c r="F66" i="131"/>
  <c r="F65" i="131"/>
  <c r="F64" i="131"/>
  <c r="F63" i="131"/>
  <c r="F62" i="131"/>
  <c r="F61" i="131"/>
  <c r="F60" i="131"/>
  <c r="F59" i="131"/>
  <c r="F58" i="131"/>
  <c r="F57" i="131"/>
  <c r="F56" i="131"/>
  <c r="F55" i="131"/>
  <c r="F54" i="131"/>
  <c r="F53" i="131"/>
  <c r="F52" i="131"/>
  <c r="F51" i="131"/>
  <c r="F50" i="131"/>
  <c r="F49" i="131"/>
  <c r="F48" i="131"/>
  <c r="F47" i="131"/>
  <c r="F46" i="131"/>
  <c r="F45" i="131"/>
  <c r="F44" i="131"/>
  <c r="F43" i="131"/>
  <c r="F42" i="131"/>
  <c r="F41" i="131"/>
  <c r="F40" i="131"/>
  <c r="F39" i="131"/>
  <c r="F38" i="131"/>
  <c r="F37" i="131"/>
  <c r="F36" i="131"/>
  <c r="F35" i="131"/>
  <c r="F34" i="131"/>
  <c r="F33" i="131"/>
  <c r="F32" i="131"/>
  <c r="F31" i="131"/>
  <c r="F30" i="131"/>
  <c r="F29" i="131"/>
  <c r="F28" i="131"/>
  <c r="F27" i="131"/>
  <c r="F26" i="131"/>
  <c r="F25" i="131"/>
  <c r="F24" i="131"/>
  <c r="F23" i="131"/>
  <c r="F22" i="131"/>
  <c r="F20" i="131"/>
  <c r="F19" i="131"/>
  <c r="F18" i="131"/>
  <c r="F17" i="131"/>
  <c r="F16" i="131"/>
  <c r="F15" i="131"/>
  <c r="F14" i="131"/>
  <c r="F13" i="131"/>
  <c r="F12" i="131"/>
  <c r="F11" i="131"/>
  <c r="F10" i="131"/>
  <c r="F9" i="131"/>
  <c r="F8" i="131"/>
  <c r="F7" i="131"/>
  <c r="F6" i="131"/>
  <c r="D5" i="131"/>
  <c r="C5" i="131"/>
  <c r="C13" i="51"/>
  <c r="E13" i="51" s="1"/>
  <c r="D26" i="77"/>
  <c r="E26" i="77" s="1"/>
  <c r="C26" i="77"/>
  <c r="D25" i="77"/>
  <c r="C25" i="77"/>
  <c r="D24" i="77"/>
  <c r="E24" i="77" s="1"/>
  <c r="C24" i="77"/>
  <c r="C51" i="77" s="1"/>
  <c r="C5" i="76" s="1"/>
  <c r="E18" i="62"/>
  <c r="C18" i="62"/>
  <c r="G18" i="61"/>
  <c r="F18" i="61"/>
  <c r="C18" i="61" s="1"/>
  <c r="C18" i="58"/>
  <c r="C50" i="118"/>
  <c r="C51" i="118"/>
  <c r="C52" i="118"/>
  <c r="C53" i="118"/>
  <c r="C49" i="118"/>
  <c r="D48" i="118"/>
  <c r="E48" i="118"/>
  <c r="F48" i="118"/>
  <c r="C43" i="118"/>
  <c r="C44" i="118"/>
  <c r="C45" i="118"/>
  <c r="C46" i="118"/>
  <c r="C42" i="118"/>
  <c r="D41" i="118"/>
  <c r="E41" i="118"/>
  <c r="F41" i="118"/>
  <c r="C36" i="118"/>
  <c r="C37" i="118"/>
  <c r="C38" i="118"/>
  <c r="C39" i="118"/>
  <c r="C35" i="118"/>
  <c r="D34" i="118"/>
  <c r="E34" i="118"/>
  <c r="F34" i="118"/>
  <c r="C29" i="118"/>
  <c r="C30" i="118"/>
  <c r="C31" i="118"/>
  <c r="C32" i="118"/>
  <c r="C27" i="118" s="1"/>
  <c r="C28" i="118"/>
  <c r="D27" i="118"/>
  <c r="E27" i="118"/>
  <c r="F27" i="118"/>
  <c r="F20" i="118"/>
  <c r="D20" i="118"/>
  <c r="E20" i="118"/>
  <c r="C20" i="118"/>
  <c r="C22" i="118"/>
  <c r="C23" i="118"/>
  <c r="C24" i="118"/>
  <c r="C25" i="118"/>
  <c r="C21" i="118"/>
  <c r="C15" i="118"/>
  <c r="C16" i="118"/>
  <c r="C17" i="118"/>
  <c r="C18" i="118"/>
  <c r="C14" i="118"/>
  <c r="D13" i="118"/>
  <c r="E13" i="118"/>
  <c r="F13" i="118"/>
  <c r="C8" i="118"/>
  <c r="C9" i="118"/>
  <c r="C10" i="118"/>
  <c r="C11" i="118"/>
  <c r="C7" i="118"/>
  <c r="D6" i="118"/>
  <c r="E6" i="118"/>
  <c r="F6" i="118"/>
  <c r="D54" i="116"/>
  <c r="E54" i="116"/>
  <c r="F54" i="116"/>
  <c r="D46" i="116"/>
  <c r="E46" i="116"/>
  <c r="F46" i="116"/>
  <c r="D38" i="116"/>
  <c r="E38" i="116"/>
  <c r="F38" i="116"/>
  <c r="D30" i="116"/>
  <c r="E30" i="116"/>
  <c r="F30" i="116"/>
  <c r="D22" i="116"/>
  <c r="E22" i="116"/>
  <c r="F22" i="116"/>
  <c r="D14" i="116"/>
  <c r="E14" i="116"/>
  <c r="F14" i="116"/>
  <c r="D6" i="116"/>
  <c r="E6" i="116"/>
  <c r="F6" i="116"/>
  <c r="C8" i="116"/>
  <c r="C9" i="116"/>
  <c r="C10" i="116"/>
  <c r="C11" i="116"/>
  <c r="C12" i="116"/>
  <c r="C15" i="116"/>
  <c r="C14" i="116" s="1"/>
  <c r="C16" i="116"/>
  <c r="C17" i="116"/>
  <c r="C18" i="116"/>
  <c r="C19" i="116"/>
  <c r="C20" i="116"/>
  <c r="C23" i="116"/>
  <c r="C24" i="116"/>
  <c r="C25" i="116"/>
  <c r="C26" i="116"/>
  <c r="C27" i="116"/>
  <c r="C28" i="116"/>
  <c r="C31" i="116"/>
  <c r="C32" i="116"/>
  <c r="C33" i="116"/>
  <c r="C34" i="116"/>
  <c r="C35" i="116"/>
  <c r="C36" i="116"/>
  <c r="C39" i="116"/>
  <c r="C40" i="116"/>
  <c r="C41" i="116"/>
  <c r="C42" i="116"/>
  <c r="C43" i="116"/>
  <c r="C44" i="116"/>
  <c r="C47" i="116"/>
  <c r="C48" i="116"/>
  <c r="C49" i="116"/>
  <c r="C50" i="116"/>
  <c r="C51" i="116"/>
  <c r="C52" i="116"/>
  <c r="C55" i="116"/>
  <c r="C54" i="116" s="1"/>
  <c r="C56" i="116"/>
  <c r="C57" i="116"/>
  <c r="C58" i="116"/>
  <c r="C59" i="116"/>
  <c r="C60" i="116"/>
  <c r="C7" i="116"/>
  <c r="D48" i="42"/>
  <c r="E48" i="42"/>
  <c r="F48" i="42"/>
  <c r="G48" i="42"/>
  <c r="H48" i="42"/>
  <c r="I48" i="42"/>
  <c r="C50" i="42"/>
  <c r="C48" i="42" s="1"/>
  <c r="C51" i="42"/>
  <c r="C52" i="42"/>
  <c r="C53" i="42"/>
  <c r="C49" i="42"/>
  <c r="D41" i="42"/>
  <c r="E41" i="42"/>
  <c r="F41" i="42"/>
  <c r="G41" i="42"/>
  <c r="H41" i="42"/>
  <c r="I41" i="42"/>
  <c r="C42" i="42"/>
  <c r="C41" i="42" s="1"/>
  <c r="C43" i="42"/>
  <c r="C44" i="42"/>
  <c r="C45" i="42"/>
  <c r="C46" i="42"/>
  <c r="D34" i="42"/>
  <c r="E34" i="42"/>
  <c r="F34" i="42"/>
  <c r="G34" i="42"/>
  <c r="H34" i="42"/>
  <c r="I34" i="42"/>
  <c r="C36" i="42"/>
  <c r="C37" i="42"/>
  <c r="C38" i="42"/>
  <c r="C34" i="42" s="1"/>
  <c r="C39" i="42"/>
  <c r="C35" i="42"/>
  <c r="D27" i="42"/>
  <c r="E27" i="42"/>
  <c r="F27" i="42"/>
  <c r="G27" i="42"/>
  <c r="H27" i="42"/>
  <c r="I27" i="42"/>
  <c r="C29" i="42"/>
  <c r="C30" i="42"/>
  <c r="C31" i="42"/>
  <c r="C32" i="42"/>
  <c r="C28" i="42"/>
  <c r="D20" i="42"/>
  <c r="E20" i="42"/>
  <c r="F20" i="42"/>
  <c r="G20" i="42"/>
  <c r="H20" i="42"/>
  <c r="I20" i="42"/>
  <c r="C20" i="42"/>
  <c r="C22" i="42"/>
  <c r="C23" i="42"/>
  <c r="C24" i="42"/>
  <c r="C25" i="42"/>
  <c r="C21" i="42"/>
  <c r="C6" i="118"/>
  <c r="C46" i="116"/>
  <c r="C15" i="42"/>
  <c r="C16" i="42"/>
  <c r="C17" i="42"/>
  <c r="C18" i="42"/>
  <c r="C14" i="42"/>
  <c r="D13" i="42"/>
  <c r="E13" i="42"/>
  <c r="F13" i="42"/>
  <c r="G13" i="42"/>
  <c r="H13" i="42"/>
  <c r="I13" i="42"/>
  <c r="D6" i="42"/>
  <c r="E6" i="42"/>
  <c r="F6" i="42"/>
  <c r="G6" i="42"/>
  <c r="H6" i="42"/>
  <c r="I6" i="42"/>
  <c r="C6" i="42"/>
  <c r="C8" i="42"/>
  <c r="C9" i="42"/>
  <c r="C10" i="42"/>
  <c r="C11" i="42"/>
  <c r="C7" i="42"/>
  <c r="F31" i="39"/>
  <c r="E31" i="39"/>
  <c r="E35" i="39"/>
  <c r="E27" i="39"/>
  <c r="F23" i="39"/>
  <c r="E23" i="39"/>
  <c r="E19" i="39"/>
  <c r="F15" i="39"/>
  <c r="E15" i="39"/>
  <c r="F9" i="39"/>
  <c r="E9" i="39"/>
  <c r="E34" i="39"/>
  <c r="E30" i="39"/>
  <c r="E26" i="39"/>
  <c r="E22" i="39"/>
  <c r="E18" i="39"/>
  <c r="E14" i="39"/>
  <c r="E8" i="39"/>
  <c r="F30" i="39"/>
  <c r="F22" i="39"/>
  <c r="F14" i="39"/>
  <c r="F8" i="39"/>
  <c r="E10" i="37"/>
  <c r="C10" i="37"/>
  <c r="E36" i="37"/>
  <c r="C36" i="37" s="1"/>
  <c r="E32" i="37"/>
  <c r="E28" i="37"/>
  <c r="C28" i="37" s="1"/>
  <c r="E24" i="37"/>
  <c r="E20" i="37"/>
  <c r="C20" i="37" s="1"/>
  <c r="E16" i="37"/>
  <c r="C16" i="37" s="1"/>
  <c r="C15" i="37"/>
  <c r="C23" i="37"/>
  <c r="C24" i="37"/>
  <c r="C32" i="37"/>
  <c r="C35" i="37"/>
  <c r="C9" i="37"/>
  <c r="E35" i="37"/>
  <c r="E31" i="37"/>
  <c r="C31" i="37" s="1"/>
  <c r="E27" i="37"/>
  <c r="C27" i="37" s="1"/>
  <c r="E23" i="37"/>
  <c r="E19" i="37"/>
  <c r="C19" i="37" s="1"/>
  <c r="E15" i="37"/>
  <c r="E9" i="37"/>
  <c r="C27" i="36"/>
  <c r="F35" i="36"/>
  <c r="E35" i="36"/>
  <c r="C35" i="36" s="1"/>
  <c r="F31" i="36"/>
  <c r="E31" i="36"/>
  <c r="C31" i="36" s="1"/>
  <c r="F27" i="36"/>
  <c r="E27" i="36"/>
  <c r="F23" i="36"/>
  <c r="E23" i="36"/>
  <c r="C23" i="36" s="1"/>
  <c r="F19" i="36"/>
  <c r="E19" i="36"/>
  <c r="C19" i="36"/>
  <c r="F15" i="36"/>
  <c r="E15" i="36"/>
  <c r="C15" i="36" s="1"/>
  <c r="F9" i="36"/>
  <c r="E9" i="36"/>
  <c r="C9" i="36" s="1"/>
  <c r="E8" i="36"/>
  <c r="C8" i="36" s="1"/>
  <c r="F8" i="36"/>
  <c r="F30" i="36"/>
  <c r="F26" i="36"/>
  <c r="F34" i="36"/>
  <c r="E34" i="36"/>
  <c r="C34" i="36"/>
  <c r="E30" i="36"/>
  <c r="C30" i="36" s="1"/>
  <c r="E26" i="36"/>
  <c r="C26" i="36" s="1"/>
  <c r="F22" i="36"/>
  <c r="E22" i="36"/>
  <c r="C22" i="36" s="1"/>
  <c r="F18" i="36"/>
  <c r="E18" i="36"/>
  <c r="C18" i="36" s="1"/>
  <c r="F14" i="36"/>
  <c r="E14" i="36"/>
  <c r="C14" i="36" s="1"/>
  <c r="C9" i="29"/>
  <c r="D9" i="26"/>
  <c r="F9" i="26"/>
  <c r="C11" i="80"/>
  <c r="C8" i="76" s="1"/>
  <c r="C13" i="79"/>
  <c r="E13" i="79" s="1"/>
  <c r="C6" i="121"/>
  <c r="C7" i="121"/>
  <c r="C8" i="121"/>
  <c r="C9" i="121"/>
  <c r="C10" i="121"/>
  <c r="C11" i="121"/>
  <c r="C12" i="121"/>
  <c r="C13" i="121"/>
  <c r="C14" i="121"/>
  <c r="C15" i="121"/>
  <c r="C16" i="121"/>
  <c r="C17" i="121"/>
  <c r="C18" i="121"/>
  <c r="C5" i="121"/>
  <c r="C6" i="62"/>
  <c r="C7" i="62"/>
  <c r="C8" i="62"/>
  <c r="C9" i="62"/>
  <c r="C10" i="62"/>
  <c r="C11" i="62"/>
  <c r="C12" i="62"/>
  <c r="C13" i="62"/>
  <c r="C14" i="62"/>
  <c r="C15" i="62"/>
  <c r="C16" i="62"/>
  <c r="C17" i="62"/>
  <c r="C5" i="62"/>
  <c r="C17" i="61"/>
  <c r="C16" i="61"/>
  <c r="C15" i="61"/>
  <c r="C14" i="61"/>
  <c r="C11" i="61"/>
  <c r="C10" i="61"/>
  <c r="C8" i="61"/>
  <c r="C7" i="61"/>
  <c r="C6" i="61"/>
  <c r="C5" i="61"/>
  <c r="C6" i="60"/>
  <c r="C7" i="60"/>
  <c r="C8" i="60"/>
  <c r="C9" i="60"/>
  <c r="C10" i="60"/>
  <c r="C11" i="60"/>
  <c r="C12" i="60"/>
  <c r="C13" i="60"/>
  <c r="C14" i="60"/>
  <c r="C15" i="60"/>
  <c r="C16" i="60"/>
  <c r="C17" i="60"/>
  <c r="C18" i="60"/>
  <c r="C5" i="60"/>
  <c r="C5" i="58"/>
  <c r="C10" i="58"/>
  <c r="C11" i="58"/>
  <c r="C12" i="58"/>
  <c r="C13" i="58"/>
  <c r="C14" i="58"/>
  <c r="C15" i="58"/>
  <c r="C16" i="58"/>
  <c r="C17" i="58"/>
  <c r="G18" i="56"/>
  <c r="H18" i="56"/>
  <c r="D13" i="82"/>
  <c r="D10" i="76"/>
  <c r="C13" i="82"/>
  <c r="C10" i="76" s="1"/>
  <c r="E25" i="77"/>
  <c r="C8" i="122"/>
  <c r="C9" i="122"/>
  <c r="C10" i="122"/>
  <c r="C11" i="122"/>
  <c r="C12" i="122"/>
  <c r="C13" i="122"/>
  <c r="C14" i="122"/>
  <c r="C15" i="122"/>
  <c r="C16" i="122"/>
  <c r="C17" i="122"/>
  <c r="C18" i="122"/>
  <c r="C6" i="122"/>
  <c r="C7" i="122"/>
  <c r="C5" i="122"/>
  <c r="M13" i="126"/>
  <c r="L13" i="126"/>
  <c r="K13" i="126"/>
  <c r="K7" i="126" s="1"/>
  <c r="J13" i="126"/>
  <c r="I13" i="126"/>
  <c r="I7" i="126"/>
  <c r="H13" i="126"/>
  <c r="G13" i="126"/>
  <c r="F13" i="126"/>
  <c r="E13" i="126"/>
  <c r="D13" i="126"/>
  <c r="D7" i="126" s="1"/>
  <c r="C13" i="126"/>
  <c r="C7" i="126" s="1"/>
  <c r="M9" i="126"/>
  <c r="L9" i="126"/>
  <c r="L7" i="126" s="1"/>
  <c r="K9" i="126"/>
  <c r="J9" i="126"/>
  <c r="I9" i="126"/>
  <c r="H9" i="126"/>
  <c r="G9" i="126"/>
  <c r="G7" i="126" s="1"/>
  <c r="F9" i="126"/>
  <c r="E9" i="126"/>
  <c r="D9" i="126"/>
  <c r="C9" i="126"/>
  <c r="E12" i="82"/>
  <c r="D11" i="81"/>
  <c r="D9" i="76" s="1"/>
  <c r="C11" i="81"/>
  <c r="C9" i="76" s="1"/>
  <c r="D11" i="80"/>
  <c r="E11" i="80" s="1"/>
  <c r="D13" i="79"/>
  <c r="D7" i="76"/>
  <c r="D16" i="78"/>
  <c r="D6" i="76" s="1"/>
  <c r="E6" i="76" s="1"/>
  <c r="C16" i="78"/>
  <c r="C6" i="76" s="1"/>
  <c r="D51" i="77"/>
  <c r="E9" i="6"/>
  <c r="E8" i="6"/>
  <c r="E5" i="77"/>
  <c r="E8" i="51"/>
  <c r="E7" i="51"/>
  <c r="G6" i="56"/>
  <c r="H6" i="56"/>
  <c r="G9" i="56"/>
  <c r="H9" i="56" s="1"/>
  <c r="G10" i="56"/>
  <c r="H10" i="56" s="1"/>
  <c r="I10" i="56" s="1"/>
  <c r="G11" i="56"/>
  <c r="H11" i="56" s="1"/>
  <c r="G12" i="56"/>
  <c r="H12" i="56" s="1"/>
  <c r="I12" i="56" s="1"/>
  <c r="G13" i="56"/>
  <c r="H13" i="56" s="1"/>
  <c r="I13" i="56" s="1"/>
  <c r="G14" i="56"/>
  <c r="H14" i="56"/>
  <c r="G15" i="56"/>
  <c r="H15" i="56" s="1"/>
  <c r="I15" i="56" s="1"/>
  <c r="G16" i="56"/>
  <c r="H16" i="56" s="1"/>
  <c r="G17" i="56"/>
  <c r="H17" i="56" s="1"/>
  <c r="E18" i="56"/>
  <c r="E17" i="56"/>
  <c r="I34" i="29"/>
  <c r="H34" i="29"/>
  <c r="G34" i="29"/>
  <c r="F34" i="29"/>
  <c r="E34" i="29"/>
  <c r="D34" i="29"/>
  <c r="C34" i="29"/>
  <c r="F82" i="20"/>
  <c r="G10" i="8"/>
  <c r="F10" i="8"/>
  <c r="D10" i="8"/>
  <c r="D8" i="8"/>
  <c r="F8" i="8"/>
  <c r="G8" i="8"/>
  <c r="D9" i="8"/>
  <c r="F9" i="8"/>
  <c r="G9" i="8"/>
  <c r="E16" i="56"/>
  <c r="D12" i="38"/>
  <c r="D6" i="38" s="1"/>
  <c r="E30" i="29"/>
  <c r="G7" i="8"/>
  <c r="E6" i="82"/>
  <c r="E7" i="82"/>
  <c r="E8" i="82"/>
  <c r="E9" i="82"/>
  <c r="E10" i="82"/>
  <c r="E11" i="82"/>
  <c r="E5" i="82"/>
  <c r="E6" i="81"/>
  <c r="E7" i="81"/>
  <c r="E8" i="81"/>
  <c r="E9" i="81"/>
  <c r="E10" i="81"/>
  <c r="E5" i="81"/>
  <c r="E6" i="80"/>
  <c r="E7" i="80"/>
  <c r="E8" i="80"/>
  <c r="E9" i="80"/>
  <c r="E10" i="80"/>
  <c r="E5" i="80"/>
  <c r="E6" i="79"/>
  <c r="E7" i="79"/>
  <c r="E8" i="79"/>
  <c r="E9" i="79"/>
  <c r="E10" i="79"/>
  <c r="E11" i="79"/>
  <c r="E12" i="79"/>
  <c r="E5" i="79"/>
  <c r="E6" i="78"/>
  <c r="E7" i="78"/>
  <c r="E8" i="78"/>
  <c r="E9" i="78"/>
  <c r="E10" i="78"/>
  <c r="E11" i="78"/>
  <c r="E12" i="78"/>
  <c r="E13" i="78"/>
  <c r="E14" i="78"/>
  <c r="E15" i="78"/>
  <c r="E5" i="78"/>
  <c r="E47" i="77"/>
  <c r="E44" i="77"/>
  <c r="E33" i="77"/>
  <c r="E7" i="77"/>
  <c r="E6" i="77"/>
  <c r="E8" i="77"/>
  <c r="E9" i="77"/>
  <c r="E10" i="77"/>
  <c r="E11" i="77"/>
  <c r="E12" i="77"/>
  <c r="E14" i="77"/>
  <c r="E15" i="77"/>
  <c r="E16" i="77"/>
  <c r="E17" i="77"/>
  <c r="E18" i="77"/>
  <c r="E19" i="77"/>
  <c r="E20" i="77"/>
  <c r="E21" i="77"/>
  <c r="E22" i="77"/>
  <c r="E23" i="77"/>
  <c r="E27" i="77"/>
  <c r="E28" i="77"/>
  <c r="E29" i="77"/>
  <c r="E30" i="77"/>
  <c r="E31" i="77"/>
  <c r="E32" i="77"/>
  <c r="E34" i="77"/>
  <c r="E35" i="77"/>
  <c r="E36" i="77"/>
  <c r="E37" i="77"/>
  <c r="E38" i="77"/>
  <c r="E39" i="77"/>
  <c r="E43" i="77"/>
  <c r="E45" i="77"/>
  <c r="E46" i="77"/>
  <c r="E48" i="77"/>
  <c r="E49" i="77"/>
  <c r="E50" i="77"/>
  <c r="E15" i="56"/>
  <c r="C12" i="117"/>
  <c r="D12" i="117"/>
  <c r="E12" i="117"/>
  <c r="F12" i="117"/>
  <c r="F6" i="117"/>
  <c r="G12" i="117"/>
  <c r="G6" i="117" s="1"/>
  <c r="H12" i="117"/>
  <c r="I12" i="117"/>
  <c r="D8" i="117"/>
  <c r="E8" i="117"/>
  <c r="E6" i="117" s="1"/>
  <c r="F8" i="117"/>
  <c r="G8" i="117"/>
  <c r="H8" i="117"/>
  <c r="H6" i="117"/>
  <c r="I8" i="117"/>
  <c r="I6" i="117" s="1"/>
  <c r="C8" i="117"/>
  <c r="H13" i="51"/>
  <c r="H8" i="51"/>
  <c r="H9" i="51"/>
  <c r="H10" i="51"/>
  <c r="H11" i="51"/>
  <c r="E9" i="51"/>
  <c r="E10" i="51"/>
  <c r="E11" i="51"/>
  <c r="E12" i="51"/>
  <c r="D7" i="38"/>
  <c r="D30" i="29"/>
  <c r="C30" i="29"/>
  <c r="D26" i="29"/>
  <c r="E26" i="29"/>
  <c r="F26" i="29"/>
  <c r="G26" i="29"/>
  <c r="H26" i="29"/>
  <c r="I26" i="29"/>
  <c r="C26" i="29"/>
  <c r="D22" i="29"/>
  <c r="E22" i="29"/>
  <c r="F22" i="29"/>
  <c r="G22" i="29"/>
  <c r="H22" i="29"/>
  <c r="I22" i="29"/>
  <c r="C22" i="29"/>
  <c r="D18" i="29"/>
  <c r="E18" i="29"/>
  <c r="F18" i="29"/>
  <c r="G18" i="29"/>
  <c r="H18" i="29"/>
  <c r="I18" i="29"/>
  <c r="C18" i="29"/>
  <c r="D14" i="29"/>
  <c r="F14" i="29"/>
  <c r="G14" i="29"/>
  <c r="C14" i="29"/>
  <c r="D9" i="29"/>
  <c r="E9" i="29"/>
  <c r="F9" i="29"/>
  <c r="G9" i="29"/>
  <c r="H9" i="29"/>
  <c r="I9" i="29"/>
  <c r="E14" i="62"/>
  <c r="F9" i="61"/>
  <c r="C9" i="61" s="1"/>
  <c r="G9" i="61"/>
  <c r="F12" i="61"/>
  <c r="C12" i="61" s="1"/>
  <c r="F13" i="61"/>
  <c r="C13" i="61"/>
  <c r="F14" i="61"/>
  <c r="H14" i="61"/>
  <c r="G6" i="58"/>
  <c r="C6" i="58"/>
  <c r="I6" i="58"/>
  <c r="D7" i="58"/>
  <c r="G7" i="58"/>
  <c r="C7" i="58"/>
  <c r="I7" i="58"/>
  <c r="D8" i="58"/>
  <c r="C8" i="58" s="1"/>
  <c r="I8" i="58"/>
  <c r="D9" i="58"/>
  <c r="C9" i="58" s="1"/>
  <c r="I9" i="58"/>
  <c r="D5" i="56"/>
  <c r="G5" i="56"/>
  <c r="H5" i="56" s="1"/>
  <c r="E5" i="56"/>
  <c r="E6" i="56"/>
  <c r="D7" i="56"/>
  <c r="D8" i="56"/>
  <c r="E9" i="56"/>
  <c r="E10" i="56"/>
  <c r="E11" i="56"/>
  <c r="E12" i="56"/>
  <c r="E13" i="56"/>
  <c r="E14" i="56"/>
  <c r="D10" i="38"/>
  <c r="D7" i="30"/>
  <c r="F7" i="30"/>
  <c r="D8" i="30"/>
  <c r="F8" i="30"/>
  <c r="D9" i="30"/>
  <c r="D6" i="30" s="1"/>
  <c r="F9" i="30"/>
  <c r="D10" i="30"/>
  <c r="F10" i="30"/>
  <c r="D11" i="30"/>
  <c r="F11" i="30"/>
  <c r="D12" i="30"/>
  <c r="F12" i="30"/>
  <c r="D13" i="30"/>
  <c r="F13" i="3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9" i="20"/>
  <c r="F30" i="20"/>
  <c r="F31" i="20"/>
  <c r="F32" i="20"/>
  <c r="F33" i="20"/>
  <c r="F34" i="20"/>
  <c r="F35" i="20"/>
  <c r="F36" i="20"/>
  <c r="F37" i="20"/>
  <c r="F38" i="20"/>
  <c r="F39" i="20"/>
  <c r="F40" i="20"/>
  <c r="F41" i="20"/>
  <c r="F42" i="20"/>
  <c r="F43" i="20"/>
  <c r="F44" i="20"/>
  <c r="F45" i="20"/>
  <c r="F46" i="20"/>
  <c r="F47" i="20"/>
  <c r="F48" i="20"/>
  <c r="F49" i="20"/>
  <c r="F50" i="20"/>
  <c r="F51" i="20"/>
  <c r="F52" i="20"/>
  <c r="F53" i="20"/>
  <c r="F54" i="20"/>
  <c r="F55" i="20"/>
  <c r="F56" i="20"/>
  <c r="F57" i="20"/>
  <c r="F58" i="20"/>
  <c r="F59" i="20"/>
  <c r="F60" i="20"/>
  <c r="F61" i="20"/>
  <c r="F62" i="20"/>
  <c r="F63" i="20"/>
  <c r="F64" i="20"/>
  <c r="F65" i="20"/>
  <c r="F66" i="20"/>
  <c r="F67" i="20"/>
  <c r="F68" i="20"/>
  <c r="F69" i="20"/>
  <c r="F70" i="20"/>
  <c r="F71" i="20"/>
  <c r="F72" i="20"/>
  <c r="F73" i="20"/>
  <c r="F74" i="20"/>
  <c r="F75" i="20"/>
  <c r="F76" i="20"/>
  <c r="F78" i="20"/>
  <c r="F79" i="20"/>
  <c r="F80" i="20"/>
  <c r="F81" i="20"/>
  <c r="F83" i="20"/>
  <c r="F84" i="20"/>
  <c r="F85" i="20"/>
  <c r="F86" i="20"/>
  <c r="D9" i="38"/>
  <c r="D8" i="38"/>
  <c r="D11" i="38"/>
  <c r="E13" i="82"/>
  <c r="F6" i="30"/>
  <c r="E16" i="78"/>
  <c r="M7" i="126"/>
  <c r="J7" i="126"/>
  <c r="H7" i="126"/>
  <c r="F7" i="126"/>
  <c r="E7" i="126"/>
  <c r="D8" i="76"/>
  <c r="F5" i="131"/>
  <c r="C7" i="74"/>
  <c r="G7" i="74" s="1"/>
  <c r="D6" i="117" l="1"/>
  <c r="E11" i="81"/>
  <c r="C6" i="117"/>
  <c r="E8" i="76"/>
  <c r="I17" i="56"/>
  <c r="I18" i="56"/>
  <c r="G8" i="56"/>
  <c r="H8" i="56" s="1"/>
  <c r="E8" i="56"/>
  <c r="I16" i="56"/>
  <c r="D5" i="76"/>
  <c r="E51" i="77"/>
  <c r="C34" i="118"/>
  <c r="C7" i="76"/>
  <c r="C11" i="76" s="1"/>
  <c r="I14" i="56"/>
  <c r="I6" i="56"/>
  <c r="E9" i="76"/>
  <c r="F5" i="20"/>
  <c r="E10" i="76"/>
  <c r="C22" i="116"/>
  <c r="D17" i="140"/>
  <c r="C41" i="118"/>
  <c r="C48" i="118"/>
  <c r="M491" i="149"/>
  <c r="N350" i="149" s="1"/>
  <c r="N131" i="149"/>
  <c r="E7" i="76"/>
  <c r="C13" i="42"/>
  <c r="C6" i="116"/>
  <c r="C30" i="116"/>
  <c r="F6" i="147"/>
  <c r="C13" i="74"/>
  <c r="G13" i="74" s="1"/>
  <c r="I11" i="56"/>
  <c r="C38" i="116"/>
  <c r="C8" i="74"/>
  <c r="H8" i="74" s="1"/>
  <c r="G7" i="56"/>
  <c r="H7" i="56" s="1"/>
  <c r="I7" i="56" s="1"/>
  <c r="E7" i="56"/>
  <c r="C27" i="42"/>
  <c r="C13" i="118"/>
  <c r="D5" i="138"/>
  <c r="D5" i="140"/>
  <c r="D5" i="141"/>
  <c r="D6" i="147"/>
  <c r="C9" i="74"/>
  <c r="G9" i="74" s="1"/>
  <c r="G14" i="74"/>
  <c r="H12" i="74"/>
  <c r="C10" i="74"/>
  <c r="G10" i="74" s="1"/>
  <c r="H14" i="74"/>
  <c r="H13" i="74"/>
  <c r="C11" i="74"/>
  <c r="H11" i="74" s="1"/>
  <c r="G8" i="74"/>
  <c r="G6" i="74"/>
  <c r="H6" i="74"/>
  <c r="H7" i="74"/>
  <c r="N310" i="149" l="1"/>
  <c r="N11" i="149"/>
  <c r="N219" i="149"/>
  <c r="N355" i="149"/>
  <c r="N438" i="149"/>
  <c r="N278" i="149"/>
  <c r="N334" i="149"/>
  <c r="N454" i="149"/>
  <c r="N158" i="149"/>
  <c r="N342" i="149"/>
  <c r="N270" i="149"/>
  <c r="N206" i="149"/>
  <c r="N326" i="149"/>
  <c r="N363" i="149"/>
  <c r="N22" i="149"/>
  <c r="N358" i="149"/>
  <c r="N398" i="149"/>
  <c r="N30" i="149"/>
  <c r="N198" i="149"/>
  <c r="N215" i="149"/>
  <c r="N431" i="149"/>
  <c r="N120" i="149"/>
  <c r="N223" i="149"/>
  <c r="N463" i="149"/>
  <c r="N128" i="149"/>
  <c r="N136" i="149"/>
  <c r="N127" i="149"/>
  <c r="N391" i="149"/>
  <c r="N103" i="149"/>
  <c r="N343" i="149"/>
  <c r="N232" i="149"/>
  <c r="N432" i="149"/>
  <c r="N448" i="149"/>
  <c r="N400" i="149"/>
  <c r="N457" i="149"/>
  <c r="N393" i="149"/>
  <c r="N485" i="149"/>
  <c r="N421" i="149"/>
  <c r="N357" i="149"/>
  <c r="N293" i="149"/>
  <c r="N229" i="149"/>
  <c r="N165" i="149"/>
  <c r="N101" i="149"/>
  <c r="N436" i="149"/>
  <c r="N372" i="149"/>
  <c r="N255" i="149"/>
  <c r="N455" i="149"/>
  <c r="N144" i="149"/>
  <c r="N247" i="149"/>
  <c r="N479" i="149"/>
  <c r="N152" i="149"/>
  <c r="N191" i="149"/>
  <c r="N143" i="149"/>
  <c r="N439" i="149"/>
  <c r="N135" i="149"/>
  <c r="N399" i="149"/>
  <c r="N296" i="149"/>
  <c r="N256" i="149"/>
  <c r="N264" i="149"/>
  <c r="N464" i="149"/>
  <c r="N449" i="149"/>
  <c r="N385" i="149"/>
  <c r="N477" i="149"/>
  <c r="N413" i="149"/>
  <c r="N349" i="149"/>
  <c r="N285" i="149"/>
  <c r="N221" i="149"/>
  <c r="N157" i="149"/>
  <c r="N93" i="149"/>
  <c r="N428" i="149"/>
  <c r="N364" i="149"/>
  <c r="N300" i="149"/>
  <c r="N236" i="149"/>
  <c r="N172" i="149"/>
  <c r="N108" i="149"/>
  <c r="N44" i="149"/>
  <c r="N474" i="149"/>
  <c r="N410" i="149"/>
  <c r="N346" i="149"/>
  <c r="N282" i="149"/>
  <c r="N218" i="149"/>
  <c r="N154" i="149"/>
  <c r="N90" i="149"/>
  <c r="N26" i="149"/>
  <c r="N321" i="149"/>
  <c r="N65" i="149"/>
  <c r="N113" i="149"/>
  <c r="N345" i="149"/>
  <c r="N225" i="149"/>
  <c r="N49" i="149"/>
  <c r="N111" i="149"/>
  <c r="N383" i="149"/>
  <c r="N64" i="149"/>
  <c r="N119" i="149"/>
  <c r="N407" i="149"/>
  <c r="N88" i="149"/>
  <c r="N319" i="149"/>
  <c r="N71" i="149"/>
  <c r="N295" i="149"/>
  <c r="N63" i="149"/>
  <c r="N271" i="149"/>
  <c r="N416" i="149"/>
  <c r="N304" i="149"/>
  <c r="N440" i="149"/>
  <c r="N272" i="149"/>
  <c r="N280" i="149"/>
  <c r="N473" i="149"/>
  <c r="N409" i="149"/>
  <c r="N437" i="149"/>
  <c r="N373" i="149"/>
  <c r="N309" i="149"/>
  <c r="N245" i="149"/>
  <c r="N181" i="149"/>
  <c r="N117" i="149"/>
  <c r="N452" i="149"/>
  <c r="N388" i="149"/>
  <c r="N324" i="149"/>
  <c r="N260" i="149"/>
  <c r="N196" i="149"/>
  <c r="N132" i="149"/>
  <c r="N68" i="149"/>
  <c r="N434" i="149"/>
  <c r="N370" i="149"/>
  <c r="N306" i="149"/>
  <c r="N242" i="149"/>
  <c r="N178" i="149"/>
  <c r="N114" i="149"/>
  <c r="N50" i="149"/>
  <c r="N217" i="149"/>
  <c r="N161" i="149"/>
  <c r="N185" i="149"/>
  <c r="N9" i="149"/>
  <c r="N265" i="149"/>
  <c r="N121" i="149"/>
  <c r="N159" i="149"/>
  <c r="N24" i="149"/>
  <c r="N279" i="149"/>
  <c r="N72" i="149"/>
  <c r="N15" i="149"/>
  <c r="N351" i="149"/>
  <c r="N199" i="149"/>
  <c r="N360" i="149"/>
  <c r="N376" i="149"/>
  <c r="N408" i="149"/>
  <c r="N275" i="149"/>
  <c r="N489" i="149"/>
  <c r="N467" i="149"/>
  <c r="N187" i="149"/>
  <c r="N99" i="149"/>
  <c r="N35" i="149"/>
  <c r="N389" i="149"/>
  <c r="N277" i="149"/>
  <c r="N189" i="149"/>
  <c r="N476" i="149"/>
  <c r="N380" i="149"/>
  <c r="N284" i="149"/>
  <c r="N204" i="149"/>
  <c r="N116" i="149"/>
  <c r="N28" i="149"/>
  <c r="N442" i="149"/>
  <c r="N354" i="149"/>
  <c r="N266" i="149"/>
  <c r="N186" i="149"/>
  <c r="N98" i="149"/>
  <c r="N10" i="149"/>
  <c r="N201" i="149"/>
  <c r="N145" i="149"/>
  <c r="N313" i="149"/>
  <c r="N137" i="149"/>
  <c r="N37" i="149"/>
  <c r="N287" i="149"/>
  <c r="N48" i="149"/>
  <c r="N327" i="149"/>
  <c r="N112" i="149"/>
  <c r="N39" i="149"/>
  <c r="N80" i="149"/>
  <c r="N239" i="149"/>
  <c r="N424" i="149"/>
  <c r="N320" i="149"/>
  <c r="N472" i="149"/>
  <c r="N195" i="149"/>
  <c r="N481" i="149"/>
  <c r="N443" i="149"/>
  <c r="N147" i="149"/>
  <c r="N483" i="149"/>
  <c r="N469" i="149"/>
  <c r="N381" i="149"/>
  <c r="N269" i="149"/>
  <c r="N173" i="149"/>
  <c r="N468" i="149"/>
  <c r="N356" i="149"/>
  <c r="N276" i="149"/>
  <c r="N188" i="149"/>
  <c r="N100" i="149"/>
  <c r="N20" i="149"/>
  <c r="N426" i="149"/>
  <c r="N338" i="149"/>
  <c r="N311" i="149"/>
  <c r="N96" i="149"/>
  <c r="N359" i="149"/>
  <c r="N176" i="149"/>
  <c r="N55" i="149"/>
  <c r="N168" i="149"/>
  <c r="N303" i="149"/>
  <c r="N488" i="149"/>
  <c r="N328" i="149"/>
  <c r="N216" i="149"/>
  <c r="N179" i="149"/>
  <c r="N465" i="149"/>
  <c r="N419" i="149"/>
  <c r="N75" i="149"/>
  <c r="N367" i="149"/>
  <c r="N184" i="149"/>
  <c r="N423" i="149"/>
  <c r="N208" i="149"/>
  <c r="N183" i="149"/>
  <c r="N47" i="149"/>
  <c r="N224" i="149"/>
  <c r="N368" i="149"/>
  <c r="N456" i="149"/>
  <c r="N395" i="149"/>
  <c r="N139" i="149"/>
  <c r="N433" i="149"/>
  <c r="N331" i="149"/>
  <c r="N51" i="149"/>
  <c r="N267" i="149"/>
  <c r="N445" i="149"/>
  <c r="N333" i="149"/>
  <c r="N237" i="149"/>
  <c r="N133" i="149"/>
  <c r="N420" i="149"/>
  <c r="N332" i="149"/>
  <c r="N244" i="149"/>
  <c r="N156" i="149"/>
  <c r="N76" i="149"/>
  <c r="N482" i="149"/>
  <c r="N394" i="149"/>
  <c r="N415" i="149"/>
  <c r="N200" i="149"/>
  <c r="N8" i="149"/>
  <c r="N87" i="149"/>
  <c r="N207" i="149"/>
  <c r="N79" i="149"/>
  <c r="N288" i="149"/>
  <c r="N384" i="149"/>
  <c r="N104" i="149"/>
  <c r="N371" i="149"/>
  <c r="N107" i="149"/>
  <c r="N425" i="149"/>
  <c r="N259" i="149"/>
  <c r="N19" i="149"/>
  <c r="N227" i="149"/>
  <c r="N429" i="149"/>
  <c r="N325" i="149"/>
  <c r="N213" i="149"/>
  <c r="N125" i="149"/>
  <c r="N412" i="149"/>
  <c r="N316" i="149"/>
  <c r="N228" i="149"/>
  <c r="N148" i="149"/>
  <c r="N60" i="149"/>
  <c r="N466" i="149"/>
  <c r="N386" i="149"/>
  <c r="N298" i="149"/>
  <c r="N210" i="149"/>
  <c r="N130" i="149"/>
  <c r="N42" i="149"/>
  <c r="N281" i="149"/>
  <c r="N305" i="149"/>
  <c r="N377" i="149"/>
  <c r="N193" i="149"/>
  <c r="N375" i="149"/>
  <c r="N263" i="149"/>
  <c r="N248" i="149"/>
  <c r="N155" i="149"/>
  <c r="N211" i="149"/>
  <c r="N461" i="149"/>
  <c r="N261" i="149"/>
  <c r="N460" i="149"/>
  <c r="N268" i="149"/>
  <c r="N92" i="149"/>
  <c r="N418" i="149"/>
  <c r="N274" i="149"/>
  <c r="N162" i="149"/>
  <c r="N58" i="149"/>
  <c r="N233" i="149"/>
  <c r="N57" i="149"/>
  <c r="N241" i="149"/>
  <c r="N61" i="149"/>
  <c r="N32" i="149"/>
  <c r="N7" i="149"/>
  <c r="N312" i="149"/>
  <c r="N43" i="149"/>
  <c r="N59" i="149"/>
  <c r="N453" i="149"/>
  <c r="N444" i="149"/>
  <c r="N252" i="149"/>
  <c r="N84" i="149"/>
  <c r="N402" i="149"/>
  <c r="N258" i="149"/>
  <c r="N146" i="149"/>
  <c r="N129" i="149"/>
  <c r="N41" i="149"/>
  <c r="N177" i="149"/>
  <c r="N53" i="149"/>
  <c r="N335" i="149"/>
  <c r="N56" i="149"/>
  <c r="N392" i="149"/>
  <c r="N403" i="149"/>
  <c r="N405" i="149"/>
  <c r="N205" i="149"/>
  <c r="N220" i="149"/>
  <c r="N52" i="149"/>
  <c r="N378" i="149"/>
  <c r="N250" i="149"/>
  <c r="N105" i="149"/>
  <c r="N25" i="149"/>
  <c r="N153" i="149"/>
  <c r="N38" i="149"/>
  <c r="N45" i="149"/>
  <c r="N40" i="149"/>
  <c r="N459" i="149"/>
  <c r="N180" i="149"/>
  <c r="N226" i="149"/>
  <c r="N73" i="149"/>
  <c r="N110" i="149"/>
  <c r="N231" i="149"/>
  <c r="N292" i="149"/>
  <c r="N249" i="149"/>
  <c r="N366" i="149"/>
  <c r="N69" i="149"/>
  <c r="N31" i="149"/>
  <c r="N253" i="149"/>
  <c r="N34" i="149"/>
  <c r="N27" i="149"/>
  <c r="N138" i="149"/>
  <c r="N344" i="149"/>
  <c r="N106" i="149"/>
  <c r="N170" i="149"/>
  <c r="N151" i="149"/>
  <c r="N404" i="149"/>
  <c r="N18" i="149"/>
  <c r="N16" i="149"/>
  <c r="N417" i="149"/>
  <c r="N149" i="149"/>
  <c r="N330" i="149"/>
  <c r="N329" i="149"/>
  <c r="N214" i="149"/>
  <c r="N21" i="149"/>
  <c r="N323" i="149"/>
  <c r="N301" i="149"/>
  <c r="N124" i="149"/>
  <c r="N81" i="149"/>
  <c r="N262" i="149"/>
  <c r="N471" i="149"/>
  <c r="N192" i="149"/>
  <c r="N175" i="149"/>
  <c r="N336" i="149"/>
  <c r="N441" i="149"/>
  <c r="N251" i="149"/>
  <c r="N397" i="149"/>
  <c r="N197" i="149"/>
  <c r="N396" i="149"/>
  <c r="N212" i="149"/>
  <c r="N36" i="149"/>
  <c r="N362" i="149"/>
  <c r="N234" i="149"/>
  <c r="N122" i="149"/>
  <c r="N337" i="149"/>
  <c r="N33" i="149"/>
  <c r="N361" i="149"/>
  <c r="N97" i="149"/>
  <c r="N29" i="149"/>
  <c r="N447" i="149"/>
  <c r="N365" i="149"/>
  <c r="N12" i="149"/>
  <c r="N353" i="149"/>
  <c r="N406" i="149"/>
  <c r="N14" i="149"/>
  <c r="N235" i="149"/>
  <c r="N484" i="149"/>
  <c r="N290" i="149"/>
  <c r="N470" i="149"/>
  <c r="N70" i="149"/>
  <c r="N348" i="149"/>
  <c r="N289" i="149"/>
  <c r="N302" i="149"/>
  <c r="N167" i="149"/>
  <c r="N171" i="149"/>
  <c r="N450" i="149"/>
  <c r="N257" i="149"/>
  <c r="N166" i="149"/>
  <c r="N160" i="149"/>
  <c r="N487" i="149"/>
  <c r="N352" i="149"/>
  <c r="N475" i="149"/>
  <c r="N401" i="149"/>
  <c r="N379" i="149"/>
  <c r="N341" i="149"/>
  <c r="N141" i="149"/>
  <c r="N340" i="149"/>
  <c r="N164" i="149"/>
  <c r="N490" i="149"/>
  <c r="N322" i="149"/>
  <c r="N202" i="149"/>
  <c r="N82" i="149"/>
  <c r="N89" i="149"/>
  <c r="N209" i="149"/>
  <c r="N297" i="149"/>
  <c r="N17" i="149"/>
  <c r="N85" i="149"/>
  <c r="N13" i="149"/>
  <c r="N23" i="149"/>
  <c r="N95" i="149"/>
  <c r="N480" i="149"/>
  <c r="N347" i="149"/>
  <c r="N387" i="149"/>
  <c r="N203" i="149"/>
  <c r="N317" i="149"/>
  <c r="N109" i="149"/>
  <c r="N308" i="149"/>
  <c r="N140" i="149"/>
  <c r="N458" i="149"/>
  <c r="N314" i="149"/>
  <c r="N194" i="149"/>
  <c r="N74" i="149"/>
  <c r="N369" i="149"/>
  <c r="N169" i="149"/>
  <c r="N273" i="149"/>
  <c r="N486" i="149"/>
  <c r="N382" i="149"/>
  <c r="N286" i="149"/>
  <c r="N174" i="149"/>
  <c r="N86" i="149"/>
  <c r="N77" i="149"/>
  <c r="N240" i="149"/>
  <c r="N66" i="149"/>
  <c r="N294" i="149"/>
  <c r="N243" i="149"/>
  <c r="N83" i="149"/>
  <c r="N283" i="149"/>
  <c r="N411" i="149"/>
  <c r="N54" i="149"/>
  <c r="N462" i="149"/>
  <c r="N446" i="149"/>
  <c r="N46" i="149"/>
  <c r="N222" i="149"/>
  <c r="N390" i="149"/>
  <c r="N6" i="149"/>
  <c r="N315" i="149"/>
  <c r="N190" i="149"/>
  <c r="N134" i="149"/>
  <c r="N339" i="149"/>
  <c r="N150" i="149"/>
  <c r="N67" i="149"/>
  <c r="N91" i="149"/>
  <c r="N291" i="149"/>
  <c r="N427" i="149"/>
  <c r="I8" i="56"/>
  <c r="N102" i="149"/>
  <c r="N78" i="149"/>
  <c r="N62" i="149"/>
  <c r="N230" i="149"/>
  <c r="N414" i="149"/>
  <c r="N115" i="149"/>
  <c r="N299" i="149"/>
  <c r="N435" i="149"/>
  <c r="E5" i="76"/>
  <c r="D11" i="76"/>
  <c r="E11" i="76" s="1"/>
  <c r="N478" i="149"/>
  <c r="N118" i="149"/>
  <c r="N182" i="149"/>
  <c r="N94" i="149"/>
  <c r="N238" i="149"/>
  <c r="N422" i="149"/>
  <c r="N318" i="149"/>
  <c r="N163" i="149"/>
  <c r="N374" i="149"/>
  <c r="N123" i="149"/>
  <c r="N307" i="149"/>
  <c r="N451" i="149"/>
  <c r="I9" i="56"/>
  <c r="N142" i="149"/>
  <c r="N246" i="149"/>
  <c r="N126" i="149"/>
  <c r="N254" i="149"/>
  <c r="N430" i="149"/>
  <c r="G11" i="74"/>
  <c r="H9" i="74"/>
  <c r="H10" i="74"/>
  <c r="N491" i="149" l="1"/>
</calcChain>
</file>

<file path=xl/sharedStrings.xml><?xml version="1.0" encoding="utf-8"?>
<sst xmlns="http://schemas.openxmlformats.org/spreadsheetml/2006/main" count="2966" uniqueCount="1139">
  <si>
    <t>Cuadro 1</t>
  </si>
  <si>
    <t>Cuadro 2</t>
  </si>
  <si>
    <t>Cuadro 3</t>
  </si>
  <si>
    <t>Indicador</t>
  </si>
  <si>
    <t>Total</t>
  </si>
  <si>
    <t>Cooperativas</t>
  </si>
  <si>
    <t>Mutuales</t>
  </si>
  <si>
    <t>Población Ocupada Total</t>
  </si>
  <si>
    <t>Total Ocupados en el Sector Construcción</t>
  </si>
  <si>
    <t>Relación de Ocupados Construcción /Total de Ocupados</t>
  </si>
  <si>
    <t>Año</t>
  </si>
  <si>
    <t>Fuente: BCCR.</t>
  </si>
  <si>
    <t>Capítulo 1:  Área de vivienda en la economía nacional</t>
  </si>
  <si>
    <t>Cuadro 9</t>
  </si>
  <si>
    <t>Cuadro 10</t>
  </si>
  <si>
    <t>Cantón</t>
  </si>
  <si>
    <t>San José</t>
  </si>
  <si>
    <t>Escazú</t>
  </si>
  <si>
    <t>San Rafael</t>
  </si>
  <si>
    <t>Desamparados</t>
  </si>
  <si>
    <t>Aserrí</t>
  </si>
  <si>
    <t>Mora</t>
  </si>
  <si>
    <t>Goicoechea</t>
  </si>
  <si>
    <t>Santa Ana</t>
  </si>
  <si>
    <t>Alajuelita</t>
  </si>
  <si>
    <t>Tibás</t>
  </si>
  <si>
    <t>Moravia</t>
  </si>
  <si>
    <t>Montes de Oca</t>
  </si>
  <si>
    <t>Curridabat</t>
  </si>
  <si>
    <t>Alajuela</t>
  </si>
  <si>
    <t>Paraíso</t>
  </si>
  <si>
    <t>La Unión</t>
  </si>
  <si>
    <t>Oreamuno</t>
  </si>
  <si>
    <t>El Guarco</t>
  </si>
  <si>
    <t>Heredia</t>
  </si>
  <si>
    <t>Barva</t>
  </si>
  <si>
    <t>Belén</t>
  </si>
  <si>
    <t>Flores</t>
  </si>
  <si>
    <t>Cuadro 11</t>
  </si>
  <si>
    <t>Costa Rica</t>
  </si>
  <si>
    <t>Puriscal</t>
  </si>
  <si>
    <t>Tarrazú</t>
  </si>
  <si>
    <t>Acosta</t>
  </si>
  <si>
    <t>Turrubares</t>
  </si>
  <si>
    <t>Dota</t>
  </si>
  <si>
    <t>León Cortés</t>
  </si>
  <si>
    <t>San Mateo</t>
  </si>
  <si>
    <t>Atenas</t>
  </si>
  <si>
    <t>Naranjo</t>
  </si>
  <si>
    <t>Palmares</t>
  </si>
  <si>
    <t>Poás</t>
  </si>
  <si>
    <t>Orotina</t>
  </si>
  <si>
    <t>San Carlos</t>
  </si>
  <si>
    <t>Alfaro Ruiz</t>
  </si>
  <si>
    <t>Valverde Vega</t>
  </si>
  <si>
    <t>Upala</t>
  </si>
  <si>
    <t>Los Chiles</t>
  </si>
  <si>
    <t>Guatuso</t>
  </si>
  <si>
    <t>Jiménez</t>
  </si>
  <si>
    <t>Turrialba</t>
  </si>
  <si>
    <t>Alvarado</t>
  </si>
  <si>
    <t>Santo Domingo</t>
  </si>
  <si>
    <t>Santa Bárbara</t>
  </si>
  <si>
    <t>San Isidro</t>
  </si>
  <si>
    <t>San Pablo</t>
  </si>
  <si>
    <t>Sarapiquí</t>
  </si>
  <si>
    <t>Liberia</t>
  </si>
  <si>
    <t>Nicoya</t>
  </si>
  <si>
    <t>Santa Cruz</t>
  </si>
  <si>
    <t>Bagaces</t>
  </si>
  <si>
    <t>Carrillo</t>
  </si>
  <si>
    <t>Cañas</t>
  </si>
  <si>
    <t>Abangares</t>
  </si>
  <si>
    <t>Tilarán</t>
  </si>
  <si>
    <t>Nandayure</t>
  </si>
  <si>
    <t>La Cruz</t>
  </si>
  <si>
    <t>Hojancha</t>
  </si>
  <si>
    <t>Puntarenas</t>
  </si>
  <si>
    <t>Esparza</t>
  </si>
  <si>
    <t>Buenos Aires</t>
  </si>
  <si>
    <t>Montes de Oro</t>
  </si>
  <si>
    <t>Osa</t>
  </si>
  <si>
    <t>Aguirre</t>
  </si>
  <si>
    <t>Golfito</t>
  </si>
  <si>
    <t>Coto Brus</t>
  </si>
  <si>
    <t>Parrita</t>
  </si>
  <si>
    <t>Corredores</t>
  </si>
  <si>
    <t>Garabito</t>
  </si>
  <si>
    <t>Limón</t>
  </si>
  <si>
    <t>Pococí</t>
  </si>
  <si>
    <t>Siquirres</t>
  </si>
  <si>
    <t>Talamanca</t>
  </si>
  <si>
    <t>Matina</t>
  </si>
  <si>
    <t>Guácimo</t>
  </si>
  <si>
    <t>Cuadro 13</t>
  </si>
  <si>
    <t>Valor</t>
  </si>
  <si>
    <t>Fuente: INEC.</t>
  </si>
  <si>
    <t>Cuadro 14</t>
  </si>
  <si>
    <t>Número de obras</t>
  </si>
  <si>
    <t>Área</t>
  </si>
  <si>
    <t>Valor promedio por obra</t>
  </si>
  <si>
    <t>Pérez Zeledón</t>
  </si>
  <si>
    <t xml:space="preserve">Cartago </t>
  </si>
  <si>
    <t>Total país</t>
  </si>
  <si>
    <t>Menos de 40</t>
  </si>
  <si>
    <t>De 40 a menos de 70</t>
  </si>
  <si>
    <t>De 70 a menos de 100</t>
  </si>
  <si>
    <t>De 100 a menos de 150</t>
  </si>
  <si>
    <t>De 200 y más</t>
  </si>
  <si>
    <t xml:space="preserve">Tipo de obra </t>
  </si>
  <si>
    <t>Total habitacional</t>
  </si>
  <si>
    <t>Variación</t>
  </si>
  <si>
    <t xml:space="preserve">Capítulo 3: Situación de la vivienda en Costa Rica </t>
  </si>
  <si>
    <t>Tipo de Vivienda</t>
  </si>
  <si>
    <t xml:space="preserve">Total </t>
  </si>
  <si>
    <t>Región</t>
  </si>
  <si>
    <t xml:space="preserve">Central </t>
  </si>
  <si>
    <t>Chorotega</t>
  </si>
  <si>
    <t>Pacífico Central</t>
  </si>
  <si>
    <t>Brunca</t>
  </si>
  <si>
    <t>Huetar Norte</t>
  </si>
  <si>
    <t xml:space="preserve">  Viviendas</t>
  </si>
  <si>
    <t xml:space="preserve">  Ocupantes</t>
  </si>
  <si>
    <t xml:space="preserve">  Promedio de ocupantes por vivienda</t>
  </si>
  <si>
    <t>Tipo de vivienda</t>
  </si>
  <si>
    <t>Casa independiente</t>
  </si>
  <si>
    <t>En fila o contigua</t>
  </si>
  <si>
    <t>En edificio (condominio vertical o apartamento)</t>
  </si>
  <si>
    <t>Cuartería</t>
  </si>
  <si>
    <t>Tugurio</t>
  </si>
  <si>
    <t>Características</t>
  </si>
  <si>
    <t>Metros cuadrados de construcción</t>
  </si>
  <si>
    <t>Viviendas</t>
  </si>
  <si>
    <t>Peso relativo</t>
  </si>
  <si>
    <t>Ocupantes</t>
  </si>
  <si>
    <t>Estado</t>
  </si>
  <si>
    <t xml:space="preserve">Bueno </t>
  </si>
  <si>
    <t>Regular</t>
  </si>
  <si>
    <t>Malo</t>
  </si>
  <si>
    <t>Central</t>
  </si>
  <si>
    <t>Calificación de la vivienda</t>
  </si>
  <si>
    <t xml:space="preserve">  Inaceptables</t>
  </si>
  <si>
    <t xml:space="preserve">  Deficientes</t>
  </si>
  <si>
    <t xml:space="preserve">  Aceptables</t>
  </si>
  <si>
    <t xml:space="preserve">  Óptimas</t>
  </si>
  <si>
    <t xml:space="preserve">  Total país</t>
  </si>
  <si>
    <t>Viviendas ocupadas</t>
  </si>
  <si>
    <t>Viviendas con hacinamiento por aposento</t>
  </si>
  <si>
    <t>Servicios básicos</t>
  </si>
  <si>
    <t xml:space="preserve">  No tiene servicios</t>
  </si>
  <si>
    <t xml:space="preserve">  Servicios deficientes</t>
  </si>
  <si>
    <t xml:space="preserve">  Servicios óptimos</t>
  </si>
  <si>
    <t xml:space="preserve">        </t>
  </si>
  <si>
    <t>Casa en condominio o residencial cerrado</t>
  </si>
  <si>
    <t>Acueducto A y A</t>
  </si>
  <si>
    <t>Acueducto Rural o Municipal, Empresa o Cooperativa</t>
  </si>
  <si>
    <t>-</t>
  </si>
  <si>
    <t>Tubería dentro de la vivienda</t>
  </si>
  <si>
    <t>Sistema de eliminación de basura</t>
  </si>
  <si>
    <t>Total                                             viviendas</t>
  </si>
  <si>
    <t>Peso                                                                             relativo</t>
  </si>
  <si>
    <t>En edificio           
(condominio vertical o apartamento)</t>
  </si>
  <si>
    <t>No tiene</t>
  </si>
  <si>
    <t>Disponibilidad de servicios básicos</t>
  </si>
  <si>
    <t>Tipo de tenencia de la vivienda</t>
  </si>
  <si>
    <t>No dispone de servicios básicos</t>
  </si>
  <si>
    <t>Servicios deficientes</t>
  </si>
  <si>
    <t>Servicios óptimos</t>
  </si>
  <si>
    <t xml:space="preserve">Peso relativo de viviendas que no disponen de servicios básicos y servicios deficientes, con respecto a total país </t>
  </si>
  <si>
    <t xml:space="preserve">Viviendas </t>
  </si>
  <si>
    <t xml:space="preserve">  Propia totalmente pagada</t>
  </si>
  <si>
    <t xml:space="preserve">  Propia pagando a plazos</t>
  </si>
  <si>
    <t xml:space="preserve">  Alquilada</t>
  </si>
  <si>
    <t xml:space="preserve">  En precario</t>
  </si>
  <si>
    <t xml:space="preserve">  Otro (cedida, prestada)</t>
  </si>
  <si>
    <t>Cartago*</t>
  </si>
  <si>
    <t>Heredia*</t>
  </si>
  <si>
    <t xml:space="preserve">Brunca </t>
  </si>
  <si>
    <t>Total viviendas</t>
  </si>
  <si>
    <t xml:space="preserve">  Viviendas en mal estado</t>
  </si>
  <si>
    <t xml:space="preserve">  Viviendas en regular estado con hacinamiento</t>
  </si>
  <si>
    <t xml:space="preserve">  Viviendas en buen estado con hacinamiento</t>
  </si>
  <si>
    <t>Nº de Casos</t>
  </si>
  <si>
    <t>Tasa de crecimiento anual del monto del bono promedio real</t>
  </si>
  <si>
    <t>Fuente: BCCR y BANHVI.</t>
  </si>
  <si>
    <t>Fuente: BANHVI.</t>
  </si>
  <si>
    <t>Bancos Estatales</t>
  </si>
  <si>
    <t>Bancos Privados</t>
  </si>
  <si>
    <t>Bancos Creados por leyes especiales</t>
  </si>
  <si>
    <t>Instituciones Autónomas</t>
  </si>
  <si>
    <t xml:space="preserve"> Estrato 1</t>
  </si>
  <si>
    <t xml:space="preserve"> Estrato 2</t>
  </si>
  <si>
    <t xml:space="preserve"> Estrato 3</t>
  </si>
  <si>
    <t xml:space="preserve"> Estrato 4</t>
  </si>
  <si>
    <t xml:space="preserve"> Estrato 5</t>
  </si>
  <si>
    <t>Impedimento físico</t>
  </si>
  <si>
    <t>Adulto Mayor</t>
  </si>
  <si>
    <t>Lote y Construcción</t>
  </si>
  <si>
    <t>Ampliación Reparación y Mejoras</t>
  </si>
  <si>
    <t>Femenino</t>
  </si>
  <si>
    <t>Masculino</t>
  </si>
  <si>
    <t>Casa de maestro</t>
  </si>
  <si>
    <t>Total de bonos pagados</t>
  </si>
  <si>
    <t>Bonos pagados a extranjeros</t>
  </si>
  <si>
    <t>Bonos pagados a nacionales</t>
  </si>
  <si>
    <t xml:space="preserve">  San José*</t>
  </si>
  <si>
    <t xml:space="preserve">  Escazú*</t>
  </si>
  <si>
    <t xml:space="preserve">  Desamparados*</t>
  </si>
  <si>
    <t xml:space="preserve">  Puriscal</t>
  </si>
  <si>
    <t xml:space="preserve">  Tarrazú</t>
  </si>
  <si>
    <t xml:space="preserve">  Aserrí*</t>
  </si>
  <si>
    <t xml:space="preserve">  Mora*           </t>
  </si>
  <si>
    <t xml:space="preserve">  Goicoechea*</t>
  </si>
  <si>
    <t xml:space="preserve">  Santa Ana*</t>
  </si>
  <si>
    <t xml:space="preserve">  Alajuelita*</t>
  </si>
  <si>
    <t xml:space="preserve">  Acosta*</t>
  </si>
  <si>
    <t xml:space="preserve">  Tibás*</t>
  </si>
  <si>
    <t xml:space="preserve">  Moravia*</t>
  </si>
  <si>
    <t xml:space="preserve">  Montes de Oca*</t>
  </si>
  <si>
    <t xml:space="preserve">  Turrubares</t>
  </si>
  <si>
    <t xml:space="preserve">  Dota</t>
  </si>
  <si>
    <t xml:space="preserve">  Curridabat*</t>
  </si>
  <si>
    <t xml:space="preserve">  Pérez Zeledón</t>
  </si>
  <si>
    <t xml:space="preserve">  León Cortés</t>
  </si>
  <si>
    <t xml:space="preserve">  Alajuela*</t>
  </si>
  <si>
    <t xml:space="preserve">  San Ramón</t>
  </si>
  <si>
    <t xml:space="preserve">  Grecia</t>
  </si>
  <si>
    <t xml:space="preserve">  San Mateo</t>
  </si>
  <si>
    <t xml:space="preserve">  Atenas*</t>
  </si>
  <si>
    <t xml:space="preserve">  Naranjo</t>
  </si>
  <si>
    <t xml:space="preserve">  Palmares</t>
  </si>
  <si>
    <t xml:space="preserve">  Poás*</t>
  </si>
  <si>
    <t xml:space="preserve">  Orotina</t>
  </si>
  <si>
    <t xml:space="preserve">  San Carlos</t>
  </si>
  <si>
    <t xml:space="preserve">  Alfaro Ruiz</t>
  </si>
  <si>
    <t xml:space="preserve">  Valverde Vega</t>
  </si>
  <si>
    <t xml:space="preserve">  Upala</t>
  </si>
  <si>
    <t xml:space="preserve">  Los Chiles</t>
  </si>
  <si>
    <t xml:space="preserve">  Guatuso</t>
  </si>
  <si>
    <t>Paraíso*</t>
  </si>
  <si>
    <t>La Unión*</t>
  </si>
  <si>
    <t>Alvarado*</t>
  </si>
  <si>
    <t>Oreamuno*</t>
  </si>
  <si>
    <t>Barva*</t>
  </si>
  <si>
    <t>Santo Domingo*</t>
  </si>
  <si>
    <t>Sta. Bárbara*</t>
  </si>
  <si>
    <t>San Rafael*</t>
  </si>
  <si>
    <t>S. Isidro*</t>
  </si>
  <si>
    <t>Belén*</t>
  </si>
  <si>
    <t>Flores*</t>
  </si>
  <si>
    <t>S. Pablo*</t>
  </si>
  <si>
    <t>Sta. Cruz</t>
  </si>
  <si>
    <t>Dentro del GAM</t>
  </si>
  <si>
    <t>Fuera del GAM</t>
  </si>
  <si>
    <t xml:space="preserve">Número </t>
  </si>
  <si>
    <t>Alajuela (excepto Sarapiquí)</t>
  </si>
  <si>
    <t>San Ramón (excepto Peñas Blancas)</t>
  </si>
  <si>
    <t>Grecia (excepto Río Cuarto)</t>
  </si>
  <si>
    <t>Sarapiquí (Llanuras del Gaspar y Cureña)</t>
  </si>
  <si>
    <t>Monto nominal                                                                                                  (en colones)</t>
  </si>
  <si>
    <t xml:space="preserve">Liberia </t>
  </si>
  <si>
    <t xml:space="preserve">Nicoya </t>
  </si>
  <si>
    <t xml:space="preserve">Bagaces </t>
  </si>
  <si>
    <t>Monto nominal                (en colones)</t>
  </si>
  <si>
    <t xml:space="preserve">Monto nominal                                                                                               (en colones) </t>
  </si>
  <si>
    <t xml:space="preserve">Monto nominal                                                                                            (en colones) </t>
  </si>
  <si>
    <t>Alajuela (Sarapiquí)</t>
  </si>
  <si>
    <t>Grecia (Río Cuarto)</t>
  </si>
  <si>
    <t>San Ramón (Peñas Blancas)</t>
  </si>
  <si>
    <t>Sarapiquí (La Virgen, Puerto Viejo y Horquetas)</t>
  </si>
  <si>
    <t>Pobreza extrema</t>
  </si>
  <si>
    <t>Pobreza no extrema</t>
  </si>
  <si>
    <t xml:space="preserve">Región </t>
  </si>
  <si>
    <t>De 150 a menos de 200</t>
  </si>
  <si>
    <t xml:space="preserve"> Estrato 6</t>
  </si>
  <si>
    <t>Huetar Caribe</t>
  </si>
  <si>
    <t xml:space="preserve">  Total de viviendas </t>
  </si>
  <si>
    <t xml:space="preserve">  Total de hogares</t>
  </si>
  <si>
    <t>Alcantarilla o Cloaca</t>
  </si>
  <si>
    <t>Tanque Séptico</t>
  </si>
  <si>
    <t>Valores absolutos</t>
  </si>
  <si>
    <t>Valores relativos</t>
  </si>
  <si>
    <t xml:space="preserve">Monto nominal                                      (en colones) </t>
  </si>
  <si>
    <t>No pobre</t>
  </si>
  <si>
    <t>Nivel de pobreza</t>
  </si>
  <si>
    <t>Política Monetaria</t>
  </si>
  <si>
    <t>Básica Pasiva</t>
  </si>
  <si>
    <t>Tasas (promedio anual)</t>
  </si>
  <si>
    <t>Tasa de Variación Población Ocupada</t>
  </si>
  <si>
    <t>Tasa de Variación Ocupados en Construcción</t>
  </si>
  <si>
    <t>Cuadro 7</t>
  </si>
  <si>
    <t>Cuadro 8</t>
  </si>
  <si>
    <t>Indicador (promedio anual)</t>
  </si>
  <si>
    <t>Cuadro 15</t>
  </si>
  <si>
    <t>Cuadro 16</t>
  </si>
  <si>
    <t>Cuadro 17</t>
  </si>
  <si>
    <t>Cuadro 18</t>
  </si>
  <si>
    <t>Cuadro 19</t>
  </si>
  <si>
    <t>Cuadro 20</t>
  </si>
  <si>
    <t>Cuadro 21</t>
  </si>
  <si>
    <t>Tipo de disposición de excretas</t>
  </si>
  <si>
    <t>Total 
viviendas</t>
  </si>
  <si>
    <t>Región y tipo de tenencia</t>
  </si>
  <si>
    <t>Región y tipo de vivienda</t>
  </si>
  <si>
    <t>Total hogares</t>
  </si>
  <si>
    <t>Monto promedio de alquiler</t>
  </si>
  <si>
    <t>Variables de Alquiler</t>
  </si>
  <si>
    <t>Viviendas alquiladas con monto de alquiler conocido</t>
  </si>
  <si>
    <t>Porcentaje de viviendas alquiladas con monto de alquiler conocido</t>
  </si>
  <si>
    <t>Faltante de vivienda</t>
  </si>
  <si>
    <t>Faltante cuantitativo</t>
  </si>
  <si>
    <t>Faltante cualitativo</t>
  </si>
  <si>
    <t>Región y tipo de tenencia de la vivienda</t>
  </si>
  <si>
    <t>Cuadro 30</t>
  </si>
  <si>
    <t>Monto del bono promedio nominal</t>
  </si>
  <si>
    <t xml:space="preserve">Monto del bono promedio real </t>
  </si>
  <si>
    <t>Cuadro 32</t>
  </si>
  <si>
    <t>Cuadro 33</t>
  </si>
  <si>
    <t>Cuadro 34</t>
  </si>
  <si>
    <t>Cuadro 35</t>
  </si>
  <si>
    <t>Cuadro 36</t>
  </si>
  <si>
    <t>Ahorro, Bono, Crédito</t>
  </si>
  <si>
    <t>Emergencia, Extrema necesidad e Indígenas</t>
  </si>
  <si>
    <t>Erradicación de tugurios</t>
  </si>
  <si>
    <t>Cuadro 37</t>
  </si>
  <si>
    <t>Compra de vivienda existente</t>
  </si>
  <si>
    <t>Compra de lote</t>
  </si>
  <si>
    <t>Cuadro 38</t>
  </si>
  <si>
    <t>Cuadro 39</t>
  </si>
  <si>
    <t>Cuadro 40</t>
  </si>
  <si>
    <t>Cuadro 41</t>
  </si>
  <si>
    <t>Cuadro 42</t>
  </si>
  <si>
    <t>Cuadro 43</t>
  </si>
  <si>
    <t>Cuadro 44</t>
  </si>
  <si>
    <t>Cuadro 45</t>
  </si>
  <si>
    <t>Cuadro 46</t>
  </si>
  <si>
    <t xml:space="preserve">Monto promedio del BFV                                                                                                                                                                                                                         (en colones) </t>
  </si>
  <si>
    <t>Monto promedio del BFV 
(en colones)</t>
  </si>
  <si>
    <t xml:space="preserve">Monto                                   (en colones) </t>
  </si>
  <si>
    <t xml:space="preserve">Monto                                                                                                                                                                                                                        (en colones) </t>
  </si>
  <si>
    <t xml:space="preserve">  Central</t>
  </si>
  <si>
    <t xml:space="preserve">  Chorotega</t>
  </si>
  <si>
    <t xml:space="preserve">  Pacífico Central</t>
  </si>
  <si>
    <t xml:space="preserve">  Brunca</t>
  </si>
  <si>
    <t xml:space="preserve">  Huetar Caribe</t>
  </si>
  <si>
    <t xml:space="preserve">  Huetar Norte</t>
  </si>
  <si>
    <t>Procedencia del agua</t>
  </si>
  <si>
    <t>Tipo de abastacimiento de agua</t>
  </si>
  <si>
    <t xml:space="preserve">  San José</t>
  </si>
  <si>
    <t xml:space="preserve">  Escazú</t>
  </si>
  <si>
    <t xml:space="preserve">  Desamparados</t>
  </si>
  <si>
    <t xml:space="preserve">  Aserrí</t>
  </si>
  <si>
    <t xml:space="preserve">  Mora</t>
  </si>
  <si>
    <t xml:space="preserve">  Goicoechea</t>
  </si>
  <si>
    <t xml:space="preserve">  Santa Ana</t>
  </si>
  <si>
    <t xml:space="preserve">  Alajuelita</t>
  </si>
  <si>
    <t xml:space="preserve">  Acosta</t>
  </si>
  <si>
    <t xml:space="preserve">  Tibás</t>
  </si>
  <si>
    <t xml:space="preserve">  Moravia</t>
  </si>
  <si>
    <t xml:space="preserve">  Montes de Oca</t>
  </si>
  <si>
    <t xml:space="preserve">  Curridabat</t>
  </si>
  <si>
    <t xml:space="preserve">  Alajuela</t>
  </si>
  <si>
    <t xml:space="preserve">  Atenas</t>
  </si>
  <si>
    <t xml:space="preserve">  Poás</t>
  </si>
  <si>
    <t xml:space="preserve">  Cartago </t>
  </si>
  <si>
    <t xml:space="preserve">  Paraíso</t>
  </si>
  <si>
    <t xml:space="preserve">  La Unión</t>
  </si>
  <si>
    <t xml:space="preserve">  Jiménez</t>
  </si>
  <si>
    <t xml:space="preserve">  Turrialba</t>
  </si>
  <si>
    <t xml:space="preserve">  Alvarado</t>
  </si>
  <si>
    <t xml:space="preserve">  Oreamuno</t>
  </si>
  <si>
    <t xml:space="preserve">  El Guarco</t>
  </si>
  <si>
    <t xml:space="preserve">  Heredia</t>
  </si>
  <si>
    <t xml:space="preserve">  Barva</t>
  </si>
  <si>
    <t xml:space="preserve">  Santo Domingo</t>
  </si>
  <si>
    <t xml:space="preserve">  Santa Bárbara</t>
  </si>
  <si>
    <t xml:space="preserve">  San Rafael</t>
  </si>
  <si>
    <t xml:space="preserve">  San Isidro</t>
  </si>
  <si>
    <t xml:space="preserve">  Belén</t>
  </si>
  <si>
    <t xml:space="preserve">  Flores</t>
  </si>
  <si>
    <t xml:space="preserve">  San Pablo</t>
  </si>
  <si>
    <t xml:space="preserve">  Sarapiquí</t>
  </si>
  <si>
    <t xml:space="preserve">  Liberia</t>
  </si>
  <si>
    <t xml:space="preserve">  Nicoya</t>
  </si>
  <si>
    <t xml:space="preserve">  Santa Cruz</t>
  </si>
  <si>
    <t xml:space="preserve">  Bagaces</t>
  </si>
  <si>
    <t xml:space="preserve">  Carrillo</t>
  </si>
  <si>
    <t xml:space="preserve">  Cañas</t>
  </si>
  <si>
    <t xml:space="preserve">  Abangares</t>
  </si>
  <si>
    <t xml:space="preserve">  Tilarán</t>
  </si>
  <si>
    <t xml:space="preserve">  Nandayure</t>
  </si>
  <si>
    <t xml:space="preserve">  La Cruz</t>
  </si>
  <si>
    <t xml:space="preserve">  Hojancha</t>
  </si>
  <si>
    <t xml:space="preserve">  Puntarenas</t>
  </si>
  <si>
    <t xml:space="preserve">  Esparza</t>
  </si>
  <si>
    <t xml:space="preserve">  Buenos Aires</t>
  </si>
  <si>
    <t xml:space="preserve">  Montes de Oro</t>
  </si>
  <si>
    <t xml:space="preserve">  Osa</t>
  </si>
  <si>
    <t xml:space="preserve">  Aguirre</t>
  </si>
  <si>
    <t xml:space="preserve">  Golfito</t>
  </si>
  <si>
    <t xml:space="preserve">  Coto Brus</t>
  </si>
  <si>
    <t xml:space="preserve">  Parrita</t>
  </si>
  <si>
    <t xml:space="preserve">  Corredores</t>
  </si>
  <si>
    <t xml:space="preserve">  Garabito</t>
  </si>
  <si>
    <t xml:space="preserve">  Limón</t>
  </si>
  <si>
    <t xml:space="preserve">  Pococí</t>
  </si>
  <si>
    <t xml:space="preserve">  Siquirres</t>
  </si>
  <si>
    <t xml:space="preserve">  Talamanca</t>
  </si>
  <si>
    <t xml:space="preserve">  Matina</t>
  </si>
  <si>
    <t xml:space="preserve">  Guácimo</t>
  </si>
  <si>
    <t xml:space="preserve">  Camión recolector</t>
  </si>
  <si>
    <t xml:space="preserve">  Se bota en hueco o se entierra</t>
  </si>
  <si>
    <t xml:space="preserve">  Se quema</t>
  </si>
  <si>
    <t xml:space="preserve">  Se bota en lote baldío</t>
  </si>
  <si>
    <t xml:space="preserve">  Se bota en río, quebrada o mar</t>
  </si>
  <si>
    <t xml:space="preserve">  Otro</t>
  </si>
  <si>
    <t xml:space="preserve">  Otra (cedida, prestada)</t>
  </si>
  <si>
    <t xml:space="preserve">  Casa en condominio o residencial cerrado</t>
  </si>
  <si>
    <t xml:space="preserve">  Casa independiente</t>
  </si>
  <si>
    <t xml:space="preserve">  En fila o contigua</t>
  </si>
  <si>
    <t xml:space="preserve">  Cuartería</t>
  </si>
  <si>
    <t xml:space="preserve">  Tugurio</t>
  </si>
  <si>
    <t xml:space="preserve">  En edificio (condominio vertical o apartamento)</t>
  </si>
  <si>
    <t xml:space="preserve">  Otra tenencia (cedida, prestada)</t>
  </si>
  <si>
    <t xml:space="preserve">  Cartago</t>
  </si>
  <si>
    <t xml:space="preserve">  Vásquez de Coronado </t>
  </si>
  <si>
    <t xml:space="preserve">  Zarcero</t>
  </si>
  <si>
    <t xml:space="preserve">  Oreamuno </t>
  </si>
  <si>
    <t xml:space="preserve">  Osa </t>
  </si>
  <si>
    <t xml:space="preserve">  Parrita </t>
  </si>
  <si>
    <t xml:space="preserve">  Vásquez de Coronado</t>
  </si>
  <si>
    <t xml:space="preserve">  Vásquez de Coronado*</t>
  </si>
  <si>
    <t>Vásquez de Coronado</t>
  </si>
  <si>
    <t xml:space="preserve">Grupos de área </t>
  </si>
  <si>
    <t xml:space="preserve">Capítulo 4: Aporte del SFNV al área habitacional  </t>
  </si>
  <si>
    <t>No tiene tubería</t>
  </si>
  <si>
    <t xml:space="preserve">Tubería fuera de la vivienda </t>
  </si>
  <si>
    <t>Porcentaje de ingreso neto promedio del hogar que gasta en alquiler</t>
  </si>
  <si>
    <t>Población ocupada total y número de ocupados en el Sector Construcción. 2015-2018.</t>
  </si>
  <si>
    <t>Cuadro 4</t>
  </si>
  <si>
    <t>Cuadro 5</t>
  </si>
  <si>
    <t>Cuadro 6</t>
  </si>
  <si>
    <t xml:space="preserve">Cuartería </t>
  </si>
  <si>
    <t>Colones</t>
  </si>
  <si>
    <t>Dólares</t>
  </si>
  <si>
    <t>Bancos estatales</t>
  </si>
  <si>
    <t>Bancos privados</t>
  </si>
  <si>
    <t>Entidades financieras no bancarias</t>
  </si>
  <si>
    <t>Cuadro 12</t>
  </si>
  <si>
    <t>Cuadro 24</t>
  </si>
  <si>
    <t>Cuadro 22</t>
  </si>
  <si>
    <t>Cuadro 23</t>
  </si>
  <si>
    <t xml:space="preserve">IPC promedio anual          (Base 2018=100) </t>
  </si>
  <si>
    <t>Cuadro 25</t>
  </si>
  <si>
    <t>Cuadro 26</t>
  </si>
  <si>
    <t>Cuadro 27</t>
  </si>
  <si>
    <t>Cuadro 28</t>
  </si>
  <si>
    <t>Cuadro 29</t>
  </si>
  <si>
    <t>Número y monto de BFV pagados según región. 2018.</t>
  </si>
  <si>
    <t>Número y monto de BFV pagados en la Región Central, según cantón. 2018.</t>
  </si>
  <si>
    <t>Número y monto de BFV pagados en la Región Chorotega, según cantón. 2018.</t>
  </si>
  <si>
    <t>Número y monto de BFV pagados en la Región Pacífico Central, según cantón. 2018.</t>
  </si>
  <si>
    <t xml:space="preserve">Regular </t>
  </si>
  <si>
    <t>Construcción en lote propio y Segunda planta</t>
  </si>
  <si>
    <t xml:space="preserve">Tasa de Política Monetaria y Tasa Básica Pasiva. 2015-2018. </t>
  </si>
  <si>
    <t>Tasas de interés para vivienda en colones y dólares: bancos estatales, bancos privados y entidades financieras no bancarias. 2015-2018.</t>
  </si>
  <si>
    <t>Tabla de contenido</t>
  </si>
  <si>
    <t>Número y monto de BFV pagados en la Región Brunca, según cantón. 2018.</t>
  </si>
  <si>
    <t>Número y monto de BFV pagados en la Región Huetar Caribe, según cantón. 2018.</t>
  </si>
  <si>
    <t>Número y monto de BFV pagados en la Región Huetar Norte, según cantón. 2018.</t>
  </si>
  <si>
    <t>Capítulo 1</t>
  </si>
  <si>
    <t>Capítulo 2</t>
  </si>
  <si>
    <t>Capítulo 3</t>
  </si>
  <si>
    <t>Capítulo 4</t>
  </si>
  <si>
    <t>Área de vivienda en la economía nacional</t>
  </si>
  <si>
    <t xml:space="preserve">Situación de la vivienda en Costa Rica </t>
  </si>
  <si>
    <t xml:space="preserve">Aporte del SFNV al área habitacional  </t>
  </si>
  <si>
    <t>Población ocupada total y número de ocupados en el Sector Construcción. 2015-2018.
-números absolutos y tasas de crecimiento-</t>
  </si>
  <si>
    <t>Tabla de contenido - Capítulos</t>
  </si>
  <si>
    <t>Vivienda</t>
  </si>
  <si>
    <t>Construcción</t>
  </si>
  <si>
    <t>Sector</t>
  </si>
  <si>
    <t>Tasa de variaciòn anual en Vivienda</t>
  </si>
  <si>
    <t>Cuadro 47</t>
  </si>
  <si>
    <t>Características de la vivienda</t>
  </si>
  <si>
    <t/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</si>
  <si>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</si>
  <si>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</si>
  <si>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</si>
  <si>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</si>
  <si>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</si>
  <si>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</si>
  <si>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</si>
  <si>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</si>
  <si>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</si>
  <si>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</si>
  <si>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Déficit Habitacional</t>
  </si>
  <si>
    <t>Déficit cuantitativo</t>
  </si>
  <si>
    <t>Déficit cualitativo</t>
  </si>
  <si>
    <t>Nota: Sólo se incluyen los hogares y viviendas ocupadas, que tienen ingreso total del hogar neto conocido.</t>
  </si>
  <si>
    <t>Total de bonos</t>
  </si>
  <si>
    <t>Número y monto de los Bonos Familiares de Vivienda (BFV) pagados. 2005-2018.</t>
  </si>
  <si>
    <t>Número de BFV pagados por entidad autorizada. 2005-2018.</t>
  </si>
  <si>
    <t>Número de BFV pagados por estrato. 2005-2018.</t>
  </si>
  <si>
    <t>Número de BFV pagados por modalidad de presupuesto. 2005-2018.</t>
  </si>
  <si>
    <t>Número de BFV pagados por propósito. 2005-2018.</t>
  </si>
  <si>
    <t>Número de BFV pagados por género del jefe de familia. 2005-2018.</t>
  </si>
  <si>
    <t>Número de BFV pagados a nacionales y extranjeros. 2005-2018.</t>
  </si>
  <si>
    <t>Fuente: Instituto Nacional de Estadística y Censos (INEC), Encuesta Continua de Empleo (ECE) II Trimestre 2015-2018.</t>
  </si>
  <si>
    <t>Índice de precios de edificios y vivienda de interés social, y su variación porcentual anual. 2015-2018.</t>
  </si>
  <si>
    <t>Total de viviendas ocupadas, total de ocupantes y promedio de ocupantes por vivienda, por región y según tipo de vivienda. 2018.</t>
  </si>
  <si>
    <t xml:space="preserve">Fuente: INEC, Encuesta Nacional de Hogares (ENAHO) 2018.                                                                                                                                                                                              </t>
  </si>
  <si>
    <t>Viviendas ocupadas y número de ocupantes, según metros cuadrados de construcción. 2018.</t>
  </si>
  <si>
    <t>Fuente: INEC, ENAHO 2018.</t>
  </si>
  <si>
    <t>Características de las viviendas ocupadas por región. 2018.</t>
  </si>
  <si>
    <t>Total de viviendas ocupadas por tipo de vivienda, según sistema de eliminación de basura. 2018.</t>
  </si>
  <si>
    <t>Viviendas ocupadas y número de ocupantes por disponibilidad de servicios básicos, según tipo de tenencia de la vivienda. 2018.</t>
  </si>
  <si>
    <t xml:space="preserve"> Total de viviendas ocupadas por tipo de vivienda, según tipo de tenencia y región. 2018.</t>
  </si>
  <si>
    <t xml:space="preserve"> Total de hogares por nivel de pobreza, según tipo de vivienda y región. 2018.</t>
  </si>
  <si>
    <t xml:space="preserve"> Total de hogares por nivel de pobreza, según tipo de tenencia de la vivienda y región. 2018.</t>
  </si>
  <si>
    <t xml:space="preserve">Viviendas alquiladas con monto de alquiler conocido, monto promedio de alquiler e ingreso neto promedio del hogar, según región. 2018. </t>
  </si>
  <si>
    <t>Faltante de vivienda, cuantitativo y cualitativo, por región. 2018.</t>
  </si>
  <si>
    <t>Distribución del faltante de vivienda, cuantitativo y cualitativo, por decil de ingreso total del hogar neto. 2018.</t>
  </si>
  <si>
    <t>Total de viviendas ocupadas por tipo de vivienda, según tipo de tenencia y región. 2018.</t>
  </si>
  <si>
    <t>Total de hogares por nivel de pobreza, según tipo de vivienda y región. 2018.</t>
  </si>
  <si>
    <t>Total de hogares por nivel de pobreza, según tipo de tenencia de la vivienda y región. 2018.</t>
  </si>
  <si>
    <t>Viviendas alquiladas con monto de alquiler conocido, monto promedio de alquiler e ingreso neto promedio del hogar, según región. 2018.</t>
  </si>
  <si>
    <t>Menos de 147.334</t>
  </si>
  <si>
    <t>De 147.334 a 267.067</t>
  </si>
  <si>
    <t>De 267.068 a 390.000</t>
  </si>
  <si>
    <t>De 390.001 a 502.288</t>
  </si>
  <si>
    <t>De 502.289 a 647.333</t>
  </si>
  <si>
    <t>De 647.334 a 831.567</t>
  </si>
  <si>
    <t>De 831.568 a 1.084.417</t>
  </si>
  <si>
    <t>De 1.084.418 a 1.491.286</t>
  </si>
  <si>
    <t>De 1.491.287 a 2.253.714</t>
  </si>
  <si>
    <t xml:space="preserve">De 2.253.715 y más </t>
  </si>
  <si>
    <t>Concepto</t>
  </si>
  <si>
    <t>Producto Interno Bruto a precios de mercado</t>
  </si>
  <si>
    <t>Fuente: Banco Central de Costa Rica (BCCR).</t>
  </si>
  <si>
    <t xml:space="preserve">Valor </t>
  </si>
  <si>
    <t>Valor promedio   por obra</t>
  </si>
  <si>
    <t>Miembros por hogar</t>
  </si>
  <si>
    <t>Ocupados por hogar</t>
  </si>
  <si>
    <t>Ingreso per cápita del hogar</t>
  </si>
  <si>
    <t>Capítulo 5: Metas de Desarrollo Sostenible</t>
  </si>
  <si>
    <t>Cuadro 55</t>
  </si>
  <si>
    <t xml:space="preserve">Aporte </t>
  </si>
  <si>
    <t>IPM</t>
  </si>
  <si>
    <t>Dimensión Vivienda e Internet</t>
  </si>
  <si>
    <t xml:space="preserve">Fuente: INEC. </t>
  </si>
  <si>
    <t>Cuadro 56</t>
  </si>
  <si>
    <t>Sector social</t>
  </si>
  <si>
    <t>Porcentaje de Gasto Social con respecto al  PIB</t>
  </si>
  <si>
    <t xml:space="preserve">  Salud</t>
  </si>
  <si>
    <t xml:space="preserve">  Educación</t>
  </si>
  <si>
    <t xml:space="preserve">  Protección social</t>
  </si>
  <si>
    <t xml:space="preserve">  Vivienda</t>
  </si>
  <si>
    <t xml:space="preserve">  Servicios recreativos, culturales y religiosos</t>
  </si>
  <si>
    <t>Cuadro 57</t>
  </si>
  <si>
    <t>Habitantes</t>
  </si>
  <si>
    <t>Peso con respecto a total país</t>
  </si>
  <si>
    <t>Cuadro 58</t>
  </si>
  <si>
    <t>Sector Ordenamiento Territorial y Asentamientos Humanos</t>
  </si>
  <si>
    <t>Compendio Estadístico de Vivienda 2018</t>
  </si>
  <si>
    <t>Capítulo 5</t>
  </si>
  <si>
    <t xml:space="preserve">Metas de Desarrollo Sostenible  </t>
  </si>
  <si>
    <t>Producto Interno Bruto por actividad económica a precios básicos y de mercado. 2017-2018.</t>
  </si>
  <si>
    <t>Impuestos a los productos y las importaciones (netos de subvenciones</t>
  </si>
  <si>
    <t>Valor agregado a precios básicos</t>
  </si>
  <si>
    <t xml:space="preserve">   Agricultura, silvicultura y pesca </t>
  </si>
  <si>
    <t xml:space="preserve">   Minas y canteras </t>
  </si>
  <si>
    <t xml:space="preserve">   Manufactura</t>
  </si>
  <si>
    <t xml:space="preserve">   Electricidad, agua y servicios de saneamiento </t>
  </si>
  <si>
    <t xml:space="preserve">   Construcción</t>
  </si>
  <si>
    <t xml:space="preserve">   Comercio al por mayor y al por menor, reparación de vehículos </t>
  </si>
  <si>
    <t xml:space="preserve">   Transporte y almacenamiento </t>
  </si>
  <si>
    <t xml:space="preserve">    Actividades de alojamiento y servicios de comida </t>
  </si>
  <si>
    <t xml:space="preserve">    Información y comunicaciones </t>
  </si>
  <si>
    <t xml:space="preserve">    Actividades financieras y de seguros </t>
  </si>
  <si>
    <t xml:space="preserve">    Actividades inmobiliarias </t>
  </si>
  <si>
    <t xml:space="preserve">    Actividades profesionales, científicas, técnicas, administrativas y servicios de apoyo</t>
  </si>
  <si>
    <t xml:space="preserve">    Administración pública y planes de seguridad social de afiliación obligatoria </t>
  </si>
  <si>
    <t xml:space="preserve">    Enseñanza y actividades de la salud humana y de asistencia social </t>
  </si>
  <si>
    <t xml:space="preserve">    Otras actividades </t>
  </si>
  <si>
    <t>Crédito del Sistema Financiero al sector privado en vivienda y construcción. 2015-2018.</t>
  </si>
  <si>
    <t>Crédito del Sistema Financiero al sector privado en vivienda y construcción. 2015-2018.  
-saldos a fin del mes de diciembre de cada año, en millones de colones-</t>
  </si>
  <si>
    <t>Datos para Gráfico 1</t>
  </si>
  <si>
    <t>Gráfico 1</t>
  </si>
  <si>
    <t>Miembros, número de ocupados e ingreso per cápita, por hogar, según quintil de ingreso per cápita del hogar. 2018.</t>
  </si>
  <si>
    <t>Número de BFV pagados y monto de la inversión real. 2005-2018.</t>
  </si>
  <si>
    <t>Cuadro 48</t>
  </si>
  <si>
    <t>Cuadro 49</t>
  </si>
  <si>
    <t>Cuadro 50</t>
  </si>
  <si>
    <t xml:space="preserve">Otras </t>
  </si>
  <si>
    <t xml:space="preserve">Año </t>
  </si>
  <si>
    <t xml:space="preserve">Número y monto de BFV pagados según región. 2018. </t>
  </si>
  <si>
    <t xml:space="preserve">Número y monto de BFV pagados en la Región Central, según cantón. 2018. </t>
  </si>
  <si>
    <t xml:space="preserve">Número y monto de BFV pagados en la Región Chorotega, según cantón. 2018. </t>
  </si>
  <si>
    <t xml:space="preserve">Número y monto de BFV pagados en la Región Pacífico Central, según cantón. 2018. </t>
  </si>
  <si>
    <t>Cuadro 51</t>
  </si>
  <si>
    <t>Cuadro 52</t>
  </si>
  <si>
    <t>Cuadro 53</t>
  </si>
  <si>
    <t>Cuadro 54</t>
  </si>
  <si>
    <t>Índice de Pobreza Multidimensional (IPM) y la contribución absoluta de la dimensión Vivienda e Internet, según región. 2018.</t>
  </si>
  <si>
    <t>Gasto Social como porcentaje del PIB, según sector. 2010-2017.</t>
  </si>
  <si>
    <t>Índice de Pobreza Multidimensional (IPM) de los hogares, según zona y región. 2010-2018.</t>
  </si>
  <si>
    <t>Zona</t>
  </si>
  <si>
    <t>Urbana</t>
  </si>
  <si>
    <t>Rural</t>
  </si>
  <si>
    <t>Hogares pobres con privación en los indicadores del IPM. 2010-2018.</t>
  </si>
  <si>
    <t>Número de hogares</t>
  </si>
  <si>
    <t>Total de hogares pobres</t>
  </si>
  <si>
    <t>Dimensión de Educación</t>
  </si>
  <si>
    <t>No asistencia a la educación regular</t>
  </si>
  <si>
    <t>Rezago educativo</t>
  </si>
  <si>
    <t>Sin logro de bachillerato</t>
  </si>
  <si>
    <t>Bajo desarrollo de capital humano</t>
  </si>
  <si>
    <t>Dimensión Salud</t>
  </si>
  <si>
    <t>Sin seguro de salud</t>
  </si>
  <si>
    <t>Sin servicio de agua</t>
  </si>
  <si>
    <t>Sin eliminación de excretas</t>
  </si>
  <si>
    <t>Sin eliminación de basura</t>
  </si>
  <si>
    <t>Dimensión Vivienda y uso de internet</t>
  </si>
  <si>
    <t>Mal estado del techo o el piso</t>
  </si>
  <si>
    <t>Mal estado de las paredes exteriores</t>
  </si>
  <si>
    <t>Hacinamiento</t>
  </si>
  <si>
    <t>Dimensión Trabajo</t>
  </si>
  <si>
    <t>Desempleo de larga duración y personas desalentadas</t>
  </si>
  <si>
    <t>Incumplimiento de salario mínimo</t>
  </si>
  <si>
    <t>Incumplimiento de otros derechos laborales</t>
  </si>
  <si>
    <t>Empleo independiente informal</t>
  </si>
  <si>
    <t>Dimensión Protección Social</t>
  </si>
  <si>
    <t>Personas adultas mayores sin pensión</t>
  </si>
  <si>
    <t>Personas con discapacidad sin transferencias</t>
  </si>
  <si>
    <t>Fuera de la fuerza de trabajo por obligaciones familiares</t>
  </si>
  <si>
    <t>Índice / Dimensión / Región</t>
  </si>
  <si>
    <t>Fuente: INEC, ENAHO 2010-2018.</t>
  </si>
  <si>
    <t>Dimensión / Privación</t>
  </si>
  <si>
    <t>Fuente: Informe Estado de la Nación 2017.</t>
  </si>
  <si>
    <t>Quintiles de ingreso per cápita del hogar 2018</t>
  </si>
  <si>
    <t xml:space="preserve">   Casa</t>
  </si>
  <si>
    <t xml:space="preserve">   Condominio</t>
  </si>
  <si>
    <t xml:space="preserve">   Casa interés social-exonerada</t>
  </si>
  <si>
    <t xml:space="preserve">   Apartamento</t>
  </si>
  <si>
    <t xml:space="preserve">   Apartamento unifamiliar</t>
  </si>
  <si>
    <t xml:space="preserve">   Transformación a condominio</t>
  </si>
  <si>
    <t xml:space="preserve">   Cabaña</t>
  </si>
  <si>
    <t>Fuente: INEC, Estadísticas de Construcción I semestre 2018.</t>
  </si>
  <si>
    <t>Fuente: CFIA, Estadísticas 2018.</t>
  </si>
  <si>
    <t>Número de viviendas por estado físico, según región y zona. 2018.</t>
  </si>
  <si>
    <t>Región / Zona</t>
  </si>
  <si>
    <t xml:space="preserve">  Rural</t>
  </si>
  <si>
    <t>Total de viviendas por región y zona, según calificación de la vivienda. 2018.</t>
  </si>
  <si>
    <t>Viviendas ocupadas y total de ocupantes por procedencia del agua, según región y zona. 2018.</t>
  </si>
  <si>
    <t xml:space="preserve"> Central</t>
  </si>
  <si>
    <t xml:space="preserve">    Viviendas</t>
  </si>
  <si>
    <t xml:space="preserve">    Ocupantes</t>
  </si>
  <si>
    <t xml:space="preserve"> Chorotega</t>
  </si>
  <si>
    <t xml:space="preserve"> Pacífico Central</t>
  </si>
  <si>
    <t xml:space="preserve"> </t>
  </si>
  <si>
    <t xml:space="preserve"> Brunca</t>
  </si>
  <si>
    <t xml:space="preserve"> Huetar Caribe</t>
  </si>
  <si>
    <t xml:space="preserve"> Huetar Norte</t>
  </si>
  <si>
    <t xml:space="preserve"> Rural</t>
  </si>
  <si>
    <t>Viviendas ocupadas y total de ocupantes por tipo de abastecimiento de agua, según región y zona. 2018.</t>
  </si>
  <si>
    <t xml:space="preserve">   Viviendas</t>
  </si>
  <si>
    <t xml:space="preserve">   Ocupantes</t>
  </si>
  <si>
    <t>Viviendas ocupadas y total de ocupantes por sistema de disposición de excretas, según región y zona. 2018.</t>
  </si>
  <si>
    <t>Viviendas ocupadas por región, según metros cuadrados de construcción. 2018.</t>
  </si>
  <si>
    <t xml:space="preserve"> Total de hogares por nivel de pobreza, según calificación de la vivienda y región. 2018.</t>
  </si>
  <si>
    <t>Región y calificación de vivienda</t>
  </si>
  <si>
    <t>Tipo y calificación de vivienda</t>
  </si>
  <si>
    <t xml:space="preserve"> Casa en condominio o residencial cerrado</t>
  </si>
  <si>
    <t xml:space="preserve">   Inaceptables</t>
  </si>
  <si>
    <t xml:space="preserve">   Deficientes</t>
  </si>
  <si>
    <t xml:space="preserve">   Aceptables</t>
  </si>
  <si>
    <t xml:space="preserve">   Óptimas</t>
  </si>
  <si>
    <t xml:space="preserve"> Casa independiente</t>
  </si>
  <si>
    <t xml:space="preserve"> En fila o contigua</t>
  </si>
  <si>
    <t xml:space="preserve"> En edificio (condominio vertical o apartamento)</t>
  </si>
  <si>
    <t xml:space="preserve"> Cuartería </t>
  </si>
  <si>
    <t xml:space="preserve"> Tugurio</t>
  </si>
  <si>
    <t>Total de viviendas ocupadas por región, según tipo y calificación de la vivienda. 2018.</t>
  </si>
  <si>
    <t>Población en viviendas con servicio sanitario conectado a alcantarillado sanitario o tanque séptico, según región y zona. 2018.</t>
  </si>
  <si>
    <t xml:space="preserve">  Urbana </t>
  </si>
  <si>
    <t>Población con servicio de camión recolector de residuos sólidos, según región y zona. 2018.</t>
  </si>
  <si>
    <t xml:space="preserve">  Urbana</t>
  </si>
  <si>
    <t>Población con acceso a electricidad, según región y zona. 2018.</t>
  </si>
  <si>
    <t>Población en asentamiento informal (precario), según región y zona. 2018.</t>
  </si>
  <si>
    <t>Cuadro 59</t>
  </si>
  <si>
    <t>Cuadro 60</t>
  </si>
  <si>
    <t>Cuadro 61</t>
  </si>
  <si>
    <t xml:space="preserve"> Urbana</t>
  </si>
  <si>
    <t>Capitulo 3'!B20</t>
  </si>
  <si>
    <t xml:space="preserve">Total de viviendas por región y zona, según calificación de la vivienda. 2018. </t>
  </si>
  <si>
    <t>Total de hogares por nivel de pobreza, según calificación de la vivienda y región. 2018.</t>
  </si>
  <si>
    <t>Capitulo 4'!B20</t>
  </si>
  <si>
    <t xml:space="preserve">Número y monto de BFV pagados en la Región Huetar Norte, según cantón. 2018.                                                                                                                                    </t>
  </si>
  <si>
    <t>Número de obras habitacionales por grupos de área y según cantón. 2018.</t>
  </si>
  <si>
    <t>Número de obras de construcción habitacional, área (m2), valor (en miles de colones) y valor promedio por obra (en miles de colones), según cantón. 2018.</t>
  </si>
  <si>
    <t>Número de obras de ampliación habitacional, área (m2), valor (en miles de colones) y valor promedio por obra (en miles de colones), según cantón. 2018.</t>
  </si>
  <si>
    <t>Número de obras de reparación habitacional, valor (en miles de colones) y valor promedio por obra (en miles de colones), según cantón. 2018.</t>
  </si>
  <si>
    <t>Cuadro 62</t>
  </si>
  <si>
    <t>Número de BFV pagados por grupo de edad del jefe de familia. 2005-2018.</t>
  </si>
  <si>
    <t>Grupo de edad</t>
  </si>
  <si>
    <t>18 a 35 años</t>
  </si>
  <si>
    <t>36 a 64 años</t>
  </si>
  <si>
    <t>65 años y más</t>
  </si>
  <si>
    <t>Edad ignorada</t>
  </si>
  <si>
    <t>Menos de 18 años</t>
  </si>
  <si>
    <t>Distrito</t>
  </si>
  <si>
    <t>Capítulo 2: Construcción habitacional en Costa Rica</t>
  </si>
  <si>
    <t>Construcción habitacional en Costa Rica</t>
  </si>
  <si>
    <t>Código de distrito</t>
  </si>
  <si>
    <t>Carmen</t>
  </si>
  <si>
    <t>Merced</t>
  </si>
  <si>
    <t>Hospital</t>
  </si>
  <si>
    <t>Catedral</t>
  </si>
  <si>
    <t>Zapote</t>
  </si>
  <si>
    <t>San Francisco de Dos Ríos</t>
  </si>
  <si>
    <t>Uruca</t>
  </si>
  <si>
    <t>Mata Redonda</t>
  </si>
  <si>
    <t>Pavas</t>
  </si>
  <si>
    <t>Hatillo</t>
  </si>
  <si>
    <t>San Sebastián</t>
  </si>
  <si>
    <t>San Antonio</t>
  </si>
  <si>
    <t>San Miguel</t>
  </si>
  <si>
    <t>San Juan de Dios</t>
  </si>
  <si>
    <t>San Rafael Arriba</t>
  </si>
  <si>
    <t>Frailes</t>
  </si>
  <si>
    <t>Patarrá</t>
  </si>
  <si>
    <t>San Cristóbal</t>
  </si>
  <si>
    <t>Rosario</t>
  </si>
  <si>
    <t>Damas</t>
  </si>
  <si>
    <t>San Rafael Abajo</t>
  </si>
  <si>
    <t>Gravilias</t>
  </si>
  <si>
    <t>Los Guido</t>
  </si>
  <si>
    <t>Santiago</t>
  </si>
  <si>
    <t>Mercedes Sur</t>
  </si>
  <si>
    <t>Barbacoas</t>
  </si>
  <si>
    <t>Grifo Alto</t>
  </si>
  <si>
    <t>Candelarita</t>
  </si>
  <si>
    <t>Desamparaditos</t>
  </si>
  <si>
    <t>Chires</t>
  </si>
  <si>
    <t>San Marcos</t>
  </si>
  <si>
    <t>San Lorenzo</t>
  </si>
  <si>
    <t>Tarbaca</t>
  </si>
  <si>
    <t>Vuelta de Jorco</t>
  </si>
  <si>
    <t>San Gabriel</t>
  </si>
  <si>
    <t>Legua</t>
  </si>
  <si>
    <t>Monterrey</t>
  </si>
  <si>
    <t>Salitrillos</t>
  </si>
  <si>
    <t>Colón</t>
  </si>
  <si>
    <t>Guayabo</t>
  </si>
  <si>
    <t>Tabarcia</t>
  </si>
  <si>
    <t>Piedras Negras</t>
  </si>
  <si>
    <t>Picagres</t>
  </si>
  <si>
    <t>Jaris</t>
  </si>
  <si>
    <t>Qutirrisi</t>
  </si>
  <si>
    <t>Guadalupe</t>
  </si>
  <si>
    <t>San Francisco</t>
  </si>
  <si>
    <t>Calle Blancos</t>
  </si>
  <si>
    <t>Mata de Plátano</t>
  </si>
  <si>
    <t>Ipís</t>
  </si>
  <si>
    <t>Rancho Redondo</t>
  </si>
  <si>
    <t>Purral</t>
  </si>
  <si>
    <t>Salitral</t>
  </si>
  <si>
    <t>Pozos</t>
  </si>
  <si>
    <t>Piedades</t>
  </si>
  <si>
    <t>Brasil</t>
  </si>
  <si>
    <t>San Josecito</t>
  </si>
  <si>
    <t>Concepción</t>
  </si>
  <si>
    <t>San Felipe</t>
  </si>
  <si>
    <t>Dulce Nombre de Jesús</t>
  </si>
  <si>
    <t>Patalillo</t>
  </si>
  <si>
    <t>Cascajal</t>
  </si>
  <si>
    <t>San Ignacio</t>
  </si>
  <si>
    <t>Guaitil</t>
  </si>
  <si>
    <t>Palmichal</t>
  </si>
  <si>
    <t>Cangrejal</t>
  </si>
  <si>
    <t>Sabanillas</t>
  </si>
  <si>
    <t>San Juan</t>
  </si>
  <si>
    <t>Cinco Esquinas</t>
  </si>
  <si>
    <t>Anselmo Llorente</t>
  </si>
  <si>
    <t>León XIII</t>
  </si>
  <si>
    <t>Colima</t>
  </si>
  <si>
    <t>San Vicente</t>
  </si>
  <si>
    <t>San Jerónimo</t>
  </si>
  <si>
    <t>La Trinidad</t>
  </si>
  <si>
    <t>San Pedro</t>
  </si>
  <si>
    <t>Sabanilla</t>
  </si>
  <si>
    <t>Mercedes</t>
  </si>
  <si>
    <t>San Juan de Mata</t>
  </si>
  <si>
    <t>San Luis</t>
  </si>
  <si>
    <t>Carara</t>
  </si>
  <si>
    <t>Santa María</t>
  </si>
  <si>
    <t>Jardín</t>
  </si>
  <si>
    <t>Copey</t>
  </si>
  <si>
    <t>Granadilla</t>
  </si>
  <si>
    <t>Sánchez</t>
  </si>
  <si>
    <t>Tirrases</t>
  </si>
  <si>
    <t>San Isidro de El General</t>
  </si>
  <si>
    <t>El General</t>
  </si>
  <si>
    <t>Daniel Flores</t>
  </si>
  <si>
    <t>Rivas</t>
  </si>
  <si>
    <t>Platanares</t>
  </si>
  <si>
    <t>Pejibaye</t>
  </si>
  <si>
    <t>Cajón</t>
  </si>
  <si>
    <t>Barú</t>
  </si>
  <si>
    <t>Río Nuevo</t>
  </si>
  <si>
    <t>Páramo</t>
  </si>
  <si>
    <t>La Amistad</t>
  </si>
  <si>
    <t>San Andrés</t>
  </si>
  <si>
    <t>Llano Bonito</t>
  </si>
  <si>
    <t>Carrizal</t>
  </si>
  <si>
    <t>Guácima</t>
  </si>
  <si>
    <t>Río Segundo</t>
  </si>
  <si>
    <t>Turrúcares</t>
  </si>
  <si>
    <t>Tambor</t>
  </si>
  <si>
    <t>Garita</t>
  </si>
  <si>
    <t>San Ramón</t>
  </si>
  <si>
    <t>Piedades Norte</t>
  </si>
  <si>
    <t>Piedades Sur</t>
  </si>
  <si>
    <t>Angeles</t>
  </si>
  <si>
    <t>Alfaro</t>
  </si>
  <si>
    <t>Volio</t>
  </si>
  <si>
    <t>Zapotal</t>
  </si>
  <si>
    <t>Peñas Blancas</t>
  </si>
  <si>
    <t>Grecia</t>
  </si>
  <si>
    <t>San Roque</t>
  </si>
  <si>
    <t>Tacares</t>
  </si>
  <si>
    <t>Río Cuarto</t>
  </si>
  <si>
    <t>Puente de Piedra</t>
  </si>
  <si>
    <t>Bolívar</t>
  </si>
  <si>
    <t>Desmonte</t>
  </si>
  <si>
    <t>Jesús María</t>
  </si>
  <si>
    <t>Labrador</t>
  </si>
  <si>
    <t>Jesús</t>
  </si>
  <si>
    <t>Santa Eulalia</t>
  </si>
  <si>
    <t>Escobal</t>
  </si>
  <si>
    <t>Cirrí Sur</t>
  </si>
  <si>
    <t>El Rosario</t>
  </si>
  <si>
    <t>Palmitos</t>
  </si>
  <si>
    <t>Zaragoza</t>
  </si>
  <si>
    <t>Candelaria</t>
  </si>
  <si>
    <t>Esquipulas</t>
  </si>
  <si>
    <t>La Granja</t>
  </si>
  <si>
    <t>Carrillos</t>
  </si>
  <si>
    <t>Sabana Redonda</t>
  </si>
  <si>
    <t>El Mastate</t>
  </si>
  <si>
    <t>Hacienda Vieja</t>
  </si>
  <si>
    <t>Coyolar</t>
  </si>
  <si>
    <t>La Ceiba</t>
  </si>
  <si>
    <t>Quesada</t>
  </si>
  <si>
    <t>Florencia</t>
  </si>
  <si>
    <t>Buenavista</t>
  </si>
  <si>
    <t>Aguas Zarcas</t>
  </si>
  <si>
    <t>Venecia</t>
  </si>
  <si>
    <t>Pital</t>
  </si>
  <si>
    <t>La Fortuna</t>
  </si>
  <si>
    <t>La Tigra</t>
  </si>
  <si>
    <t>La Palmera</t>
  </si>
  <si>
    <t>Venado</t>
  </si>
  <si>
    <t>Cutris</t>
  </si>
  <si>
    <t>Pocosol</t>
  </si>
  <si>
    <t>Zarcero</t>
  </si>
  <si>
    <t>Laguna</t>
  </si>
  <si>
    <t>Tapesco</t>
  </si>
  <si>
    <t>Palmira</t>
  </si>
  <si>
    <t>Brisas</t>
  </si>
  <si>
    <t>Sarchí Norte</t>
  </si>
  <si>
    <t>Sarchí Sur</t>
  </si>
  <si>
    <t>Toro Amarillo</t>
  </si>
  <si>
    <t>Rodríguez</t>
  </si>
  <si>
    <t>Aguas Claras</t>
  </si>
  <si>
    <t>San José (Pizote)</t>
  </si>
  <si>
    <t>Bijagua</t>
  </si>
  <si>
    <t>Delicias</t>
  </si>
  <si>
    <t>Dos Ríos</t>
  </si>
  <si>
    <t>Yolillal</t>
  </si>
  <si>
    <t>Canalete</t>
  </si>
  <si>
    <t>Caño Negro</t>
  </si>
  <si>
    <t>El Amparo</t>
  </si>
  <si>
    <t>San Jorge</t>
  </si>
  <si>
    <t>Cote</t>
  </si>
  <si>
    <t>Katira</t>
  </si>
  <si>
    <t>Oriental</t>
  </si>
  <si>
    <t>Occidental</t>
  </si>
  <si>
    <t>San Nicolás</t>
  </si>
  <si>
    <t>Aguacaliente (San Francisco)</t>
  </si>
  <si>
    <t>Guadalupe (Arenilla)</t>
  </si>
  <si>
    <t>Corralillo</t>
  </si>
  <si>
    <t>Tierra Blanca</t>
  </si>
  <si>
    <t>Dulce Nombre</t>
  </si>
  <si>
    <t>Llano Grande</t>
  </si>
  <si>
    <t>Quebradilla</t>
  </si>
  <si>
    <t>Orosi</t>
  </si>
  <si>
    <t>Cachí</t>
  </si>
  <si>
    <t>Llanos de Santa Lucía</t>
  </si>
  <si>
    <t>Tres Ríos</t>
  </si>
  <si>
    <t>San Diego</t>
  </si>
  <si>
    <t>Río Azul</t>
  </si>
  <si>
    <t>Juan Viñas</t>
  </si>
  <si>
    <t>Tucurrique</t>
  </si>
  <si>
    <t>La Suiza</t>
  </si>
  <si>
    <t>Peralta</t>
  </si>
  <si>
    <t>Santa Teresita</t>
  </si>
  <si>
    <t>Pavones</t>
  </si>
  <si>
    <t>Tuis</t>
  </si>
  <si>
    <t>Tayutic</t>
  </si>
  <si>
    <t>Santa Rosa</t>
  </si>
  <si>
    <t>Tres Equis</t>
  </si>
  <si>
    <t>La Isabel</t>
  </si>
  <si>
    <t>Chirripó</t>
  </si>
  <si>
    <t>Pacayas</t>
  </si>
  <si>
    <t>Cervantes</t>
  </si>
  <si>
    <t>Capellades</t>
  </si>
  <si>
    <t>Cot</t>
  </si>
  <si>
    <t>Potrero Cerrado</t>
  </si>
  <si>
    <t>Cipreses</t>
  </si>
  <si>
    <t>El Tejar</t>
  </si>
  <si>
    <t>Tobosi</t>
  </si>
  <si>
    <t>Patio de Agua</t>
  </si>
  <si>
    <t>Ulloa</t>
  </si>
  <si>
    <t>Varablanca</t>
  </si>
  <si>
    <t>Santa Lucía</t>
  </si>
  <si>
    <t>San José de la Montaña</t>
  </si>
  <si>
    <t>Paracito</t>
  </si>
  <si>
    <t>Santo Tomás</t>
  </si>
  <si>
    <t>Tures</t>
  </si>
  <si>
    <t>Pará</t>
  </si>
  <si>
    <t>Purabá</t>
  </si>
  <si>
    <t>La Ribera</t>
  </si>
  <si>
    <t>La Asunción</t>
  </si>
  <si>
    <t>San Joaquín</t>
  </si>
  <si>
    <t>Barrantes</t>
  </si>
  <si>
    <t>Llorente</t>
  </si>
  <si>
    <t>Rincón de Sabanilla</t>
  </si>
  <si>
    <t>Puerto Viejo</t>
  </si>
  <si>
    <t xml:space="preserve"> La Virgen</t>
  </si>
  <si>
    <t>Las Horquetas</t>
  </si>
  <si>
    <t>Llanuras del Gaspar</t>
  </si>
  <si>
    <t>Cureña</t>
  </si>
  <si>
    <t>Cañas Dulces</t>
  </si>
  <si>
    <t>Mayorga</t>
  </si>
  <si>
    <t>Nacascolo</t>
  </si>
  <si>
    <t>Curubandé</t>
  </si>
  <si>
    <t>Mansión</t>
  </si>
  <si>
    <t>Quebrada Honda</t>
  </si>
  <si>
    <t>Sámara</t>
  </si>
  <si>
    <t>Nosara</t>
  </si>
  <si>
    <t>Belén de Nosarita</t>
  </si>
  <si>
    <t>Bolsón</t>
  </si>
  <si>
    <t>Veintisiete de Abril</t>
  </si>
  <si>
    <t>Tempate</t>
  </si>
  <si>
    <t>Cartagena</t>
  </si>
  <si>
    <t>Cuajiniquil</t>
  </si>
  <si>
    <t>Diriá</t>
  </si>
  <si>
    <t>Cabo Velas</t>
  </si>
  <si>
    <t>Tamarindo</t>
  </si>
  <si>
    <t>Mogote</t>
  </si>
  <si>
    <t>Río Naranjo</t>
  </si>
  <si>
    <t>Filadelfia</t>
  </si>
  <si>
    <t>Sardinal</t>
  </si>
  <si>
    <t>Bebedero</t>
  </si>
  <si>
    <t>Porozal</t>
  </si>
  <si>
    <t>Las Juntas</t>
  </si>
  <si>
    <t>Sierra</t>
  </si>
  <si>
    <t>Colorado</t>
  </si>
  <si>
    <t>Quebrada Grande</t>
  </si>
  <si>
    <t>Tronadora</t>
  </si>
  <si>
    <t>Líbano</t>
  </si>
  <si>
    <t>Tierras Morenas</t>
  </si>
  <si>
    <t>Arenal</t>
  </si>
  <si>
    <t>Carmona</t>
  </si>
  <si>
    <t>Santa Rita</t>
  </si>
  <si>
    <t>Porvenir</t>
  </si>
  <si>
    <t>Bejuco</t>
  </si>
  <si>
    <t>Santa Cecilia</t>
  </si>
  <si>
    <t>La Garita</t>
  </si>
  <si>
    <t>Santa Elena</t>
  </si>
  <si>
    <t>Monte Romo</t>
  </si>
  <si>
    <t>Puerto Carrillo</t>
  </si>
  <si>
    <t>Huacas</t>
  </si>
  <si>
    <t>Matambu</t>
  </si>
  <si>
    <t>Pitahaya</t>
  </si>
  <si>
    <t>Chomes</t>
  </si>
  <si>
    <t>Lepanto</t>
  </si>
  <si>
    <t>Paquera</t>
  </si>
  <si>
    <t>Manzanillo</t>
  </si>
  <si>
    <t>Guacimal</t>
  </si>
  <si>
    <t>Barranca</t>
  </si>
  <si>
    <t>Monte Verde</t>
  </si>
  <si>
    <t>Isla del Coco</t>
  </si>
  <si>
    <t>Cóbano</t>
  </si>
  <si>
    <t>Chacarita</t>
  </si>
  <si>
    <t>Chira</t>
  </si>
  <si>
    <t>Acapulco</t>
  </si>
  <si>
    <t>El Roble</t>
  </si>
  <si>
    <t>Arancibia</t>
  </si>
  <si>
    <t>Espíritu Santo</t>
  </si>
  <si>
    <t>San Juan Grande</t>
  </si>
  <si>
    <t>Macacona</t>
  </si>
  <si>
    <t>Caldera</t>
  </si>
  <si>
    <t>Volcán</t>
  </si>
  <si>
    <t>Potrero Grande</t>
  </si>
  <si>
    <t>Boruca</t>
  </si>
  <si>
    <t>Pilas</t>
  </si>
  <si>
    <t>Colinas</t>
  </si>
  <si>
    <t>Chánguena</t>
  </si>
  <si>
    <t>Biolley</t>
  </si>
  <si>
    <t>Brunka</t>
  </si>
  <si>
    <t>Miramar</t>
  </si>
  <si>
    <t>Puerto Cortés</t>
  </si>
  <si>
    <t>Palmar</t>
  </si>
  <si>
    <t>Sierpe</t>
  </si>
  <si>
    <t>Bahía Ballena</t>
  </si>
  <si>
    <t>Piedras Blancas</t>
  </si>
  <si>
    <t>Bahía Drake</t>
  </si>
  <si>
    <t>Quepos</t>
  </si>
  <si>
    <t>Savegre</t>
  </si>
  <si>
    <t>Naranjito</t>
  </si>
  <si>
    <t>Puerto Jiménez</t>
  </si>
  <si>
    <t>Guaycará</t>
  </si>
  <si>
    <t>Pavón</t>
  </si>
  <si>
    <t>San Vito</t>
  </si>
  <si>
    <t>Sabalito</t>
  </si>
  <si>
    <t>Aguabuena</t>
  </si>
  <si>
    <t>Limoncito</t>
  </si>
  <si>
    <t>Pittier</t>
  </si>
  <si>
    <t>Gutiérrez Braun</t>
  </si>
  <si>
    <t>Corredor</t>
  </si>
  <si>
    <t>La Cuesta</t>
  </si>
  <si>
    <t>Canoas</t>
  </si>
  <si>
    <t>Laurel</t>
  </si>
  <si>
    <t>Jacó</t>
  </si>
  <si>
    <t>Tárcoles</t>
  </si>
  <si>
    <t>Valle La Estrella</t>
  </si>
  <si>
    <t>Río Blanco</t>
  </si>
  <si>
    <t>Matama</t>
  </si>
  <si>
    <t>Guápiles</t>
  </si>
  <si>
    <t>Rita</t>
  </si>
  <si>
    <t>Roxana</t>
  </si>
  <si>
    <t>Cariari</t>
  </si>
  <si>
    <t>La Colonia</t>
  </si>
  <si>
    <t>Pacuarito</t>
  </si>
  <si>
    <t>Florida</t>
  </si>
  <si>
    <t>Germania</t>
  </si>
  <si>
    <t>El Cairo</t>
  </si>
  <si>
    <t>La Alegría</t>
  </si>
  <si>
    <t>Bratsi</t>
  </si>
  <si>
    <t>Sixaola</t>
  </si>
  <si>
    <t>Cahuita</t>
  </si>
  <si>
    <t>Telire</t>
  </si>
  <si>
    <t>Batán</t>
  </si>
  <si>
    <t>Carrandi</t>
  </si>
  <si>
    <t>Pocora</t>
  </si>
  <si>
    <t>Río Jiménez</t>
  </si>
  <si>
    <t>Duacarí</t>
  </si>
  <si>
    <t xml:space="preserve">           Total país</t>
  </si>
  <si>
    <t xml:space="preserve">Zona / Región </t>
  </si>
  <si>
    <r>
      <rPr>
        <b/>
        <sz val="11"/>
        <color indexed="9"/>
        <rFont val="Gotham Book"/>
      </rPr>
      <t xml:space="preserve">Producto Interno Bruto por actividad económica a precios básicos y de mercado. 2017-2018. </t>
    </r>
    <r>
      <rPr>
        <b/>
        <vertAlign val="superscript"/>
        <sz val="11"/>
        <color indexed="9"/>
        <rFont val="Gotham Book"/>
      </rPr>
      <t xml:space="preserve">1/  
</t>
    </r>
    <r>
      <rPr>
        <b/>
        <sz val="11"/>
        <color indexed="9"/>
        <rFont val="Gotham Book"/>
      </rPr>
      <t>-en millones de colones-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</si>
  <si>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Cifras preliminares.</t>
    </r>
  </si>
  <si>
    <r>
      <rPr>
        <b/>
        <sz val="11"/>
        <color indexed="9"/>
        <rFont val="Gotham Book"/>
      </rPr>
      <t xml:space="preserve">Tasa de Política Monetaria y Tasa Básica Pasiva. 2015-2018. </t>
    </r>
    <r>
      <rPr>
        <b/>
        <vertAlign val="superscript"/>
        <sz val="11"/>
        <color indexed="9"/>
        <rFont val="Gotham Book"/>
      </rPr>
      <t>1/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</si>
  <si>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Promedio al cierre de cada mes.</t>
    </r>
  </si>
  <si>
    <r>
      <t xml:space="preserve">Tasas de interés para vivienda en colones y dólares: bancos estatales, bancos privados y entidades financieras no bancarias. 2015-2018. </t>
    </r>
    <r>
      <rPr>
        <b/>
        <vertAlign val="superscript"/>
        <sz val="11"/>
        <color indexed="9"/>
        <rFont val="Gotham Book"/>
      </rPr>
      <t>1/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</si>
  <si>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 xml:space="preserve"> Los datos del año 2018 corresponden al cierre del mes de octubre.							</t>
    </r>
  </si>
  <si>
    <r>
      <t xml:space="preserve">Año </t>
    </r>
    <r>
      <rPr>
        <b/>
        <vertAlign val="superscript"/>
        <sz val="10"/>
        <color indexed="9"/>
        <rFont val="Gotham Book"/>
      </rPr>
      <t>1/</t>
    </r>
  </si>
  <si>
    <r>
      <rPr>
        <vertAlign val="superscript"/>
        <sz val="9"/>
        <color indexed="8"/>
        <rFont val="Gotham Book"/>
      </rPr>
      <t>1/</t>
    </r>
    <r>
      <rPr>
        <sz val="9"/>
        <color indexed="8"/>
        <rFont val="Gotham Book"/>
      </rPr>
      <t xml:space="preserve"> Base febrero 2012.</t>
    </r>
  </si>
  <si>
    <r>
      <t xml:space="preserve">Índice de edificios </t>
    </r>
    <r>
      <rPr>
        <b/>
        <vertAlign val="superscript"/>
        <sz val="10"/>
        <color indexed="9"/>
        <rFont val="Gotham Book"/>
      </rPr>
      <t>1/</t>
    </r>
  </si>
  <si>
    <r>
      <t>Índice de vivienda</t>
    </r>
    <r>
      <rPr>
        <b/>
        <vertAlign val="superscript"/>
        <sz val="10"/>
        <color indexed="9"/>
        <rFont val="Gotham Book"/>
      </rPr>
      <t xml:space="preserve"> 1/</t>
    </r>
  </si>
  <si>
    <r>
      <t xml:space="preserve">  Menos de 30 m</t>
    </r>
    <r>
      <rPr>
        <vertAlign val="superscript"/>
        <sz val="10"/>
        <rFont val="Gotham Book"/>
      </rPr>
      <t>2</t>
    </r>
  </si>
  <si>
    <r>
      <t xml:space="preserve">  De 30 a 40 m</t>
    </r>
    <r>
      <rPr>
        <vertAlign val="superscript"/>
        <sz val="10"/>
        <rFont val="Gotham Book"/>
      </rPr>
      <t>2</t>
    </r>
  </si>
  <si>
    <r>
      <t xml:space="preserve">  De 41 a 60 m</t>
    </r>
    <r>
      <rPr>
        <vertAlign val="superscript"/>
        <sz val="10"/>
        <rFont val="Gotham Book"/>
      </rPr>
      <t>2</t>
    </r>
  </si>
  <si>
    <r>
      <t xml:space="preserve">  De 61 a 100 m</t>
    </r>
    <r>
      <rPr>
        <vertAlign val="superscript"/>
        <sz val="10"/>
        <rFont val="Gotham Book"/>
      </rPr>
      <t>2</t>
    </r>
  </si>
  <si>
    <r>
      <t xml:space="preserve">  De 101 a 150 m</t>
    </r>
    <r>
      <rPr>
        <vertAlign val="superscript"/>
        <sz val="10"/>
        <rFont val="Gotham Book"/>
      </rPr>
      <t>2</t>
    </r>
  </si>
  <si>
    <r>
      <t xml:space="preserve">  De 151 a 200 m</t>
    </r>
    <r>
      <rPr>
        <vertAlign val="superscript"/>
        <sz val="10"/>
        <rFont val="Gotham Book"/>
      </rPr>
      <t>2</t>
    </r>
  </si>
  <si>
    <r>
      <t xml:space="preserve">  Más de 200 m</t>
    </r>
    <r>
      <rPr>
        <vertAlign val="superscript"/>
        <sz val="10"/>
        <rFont val="Gotham Book"/>
      </rPr>
      <t>2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</si>
  <si>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mide la relación entre el total de personas que residen en una vivienda y el número de dormitorios de la misma.</t>
    </r>
  </si>
  <si>
    <r>
      <t xml:space="preserve">Viviendas con hacinamiento por dormitorio </t>
    </r>
    <r>
      <rPr>
        <vertAlign val="superscript"/>
        <sz val="10"/>
        <rFont val="Gotham Book"/>
      </rPr>
      <t>1/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</si>
  <si>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refiere al agua obtenida por medio de un pozo, río, quebrada, naciente o lluvia.  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</si>
  <si>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Se refiere a excusado de hueco u otro sistema semejante, en el que se desagua en alguna corriente natural de agua.</t>
    </r>
  </si>
  <si>
    <r>
      <t xml:space="preserve">Otro </t>
    </r>
    <r>
      <rPr>
        <b/>
        <vertAlign val="superscript"/>
        <sz val="10"/>
        <color indexed="9"/>
        <rFont val="Gotham Book"/>
      </rPr>
      <t>1/</t>
    </r>
  </si>
  <si>
    <r>
      <t>Ingreso total promedio del hogar</t>
    </r>
    <r>
      <rPr>
        <b/>
        <sz val="10"/>
        <color indexed="9"/>
        <rFont val="Gotham Book"/>
      </rPr>
      <t xml:space="preserve">                                 (en colones corrientes)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</si>
  <si>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Hacinamiento por dormitorio.</t>
    </r>
  </si>
  <si>
    <r>
      <t xml:space="preserve">  Viviendas en regular estado con hacinamiento </t>
    </r>
    <r>
      <rPr>
        <vertAlign val="superscript"/>
        <sz val="10"/>
        <rFont val="Gotham Book"/>
      </rPr>
      <t>1/</t>
    </r>
  </si>
  <si>
    <r>
      <t xml:space="preserve">  Viviendas en buen estado con hacinamiento</t>
    </r>
    <r>
      <rPr>
        <vertAlign val="superscript"/>
        <sz val="10"/>
        <rFont val="Gotham Book"/>
      </rPr>
      <t xml:space="preserve"> 1/</t>
    </r>
  </si>
  <si>
    <r>
      <rPr>
        <vertAlign val="superscript"/>
        <sz val="9"/>
        <rFont val="Gotham Book"/>
      </rPr>
      <t xml:space="preserve">1/ </t>
    </r>
    <r>
      <rPr>
        <sz val="9"/>
        <rFont val="Gotham Book"/>
      </rPr>
      <t>En millones de colones.</t>
    </r>
  </si>
  <si>
    <r>
      <rPr>
        <vertAlign val="superscript"/>
        <sz val="9"/>
        <rFont val="Gotham Book"/>
      </rPr>
      <t xml:space="preserve">2/ </t>
    </r>
    <r>
      <rPr>
        <sz val="9"/>
        <rFont val="Gotham Book"/>
      </rPr>
      <t>En millones de colones de 2018.</t>
    </r>
  </si>
  <si>
    <r>
      <t xml:space="preserve">Inversión total de los bonos pagados en términos nominales </t>
    </r>
    <r>
      <rPr>
        <b/>
        <vertAlign val="superscript"/>
        <sz val="10"/>
        <color indexed="9"/>
        <rFont val="Gotham Book"/>
      </rPr>
      <t>1/</t>
    </r>
    <r>
      <rPr>
        <b/>
        <sz val="10"/>
        <color indexed="9"/>
        <rFont val="Gotham Book"/>
      </rPr>
      <t xml:space="preserve">                                                                                                                            </t>
    </r>
  </si>
  <si>
    <r>
      <t xml:space="preserve">Inversión total de los bonos pagados en términos reales </t>
    </r>
    <r>
      <rPr>
        <b/>
        <vertAlign val="superscript"/>
        <sz val="10"/>
        <color indexed="9"/>
        <rFont val="Gotham Book"/>
      </rPr>
      <t>2/</t>
    </r>
  </si>
  <si>
    <r>
      <rPr>
        <vertAlign val="superscript"/>
        <sz val="9"/>
        <color indexed="8"/>
        <rFont val="Gotham Book"/>
      </rPr>
      <t xml:space="preserve">1/ </t>
    </r>
    <r>
      <rPr>
        <sz val="9"/>
        <color indexed="8"/>
        <rFont val="Gotham Book"/>
      </rPr>
      <t>Incluye a Fundación Costa Rica-Canadá, ASEDEMASA S.A., ASECCSS y ASEMINA.</t>
    </r>
  </si>
  <si>
    <r>
      <t>Año</t>
    </r>
    <r>
      <rPr>
        <b/>
        <vertAlign val="superscript"/>
        <sz val="10"/>
        <color indexed="9"/>
        <rFont val="Gotham Book"/>
      </rPr>
      <t xml:space="preserve"> </t>
    </r>
  </si>
  <si>
    <r>
      <rPr>
        <vertAlign val="superscript"/>
        <sz val="9"/>
        <rFont val="Gotham Book"/>
      </rPr>
      <t>1 /</t>
    </r>
    <r>
      <rPr>
        <sz val="9"/>
        <rFont val="Gotham Book"/>
      </rPr>
      <t>Incluye los cantones señalados con un asterisco en los cuadros 40, 41, 42 y 43.</t>
    </r>
  </si>
  <si>
    <r>
      <rPr>
        <vertAlign val="superscript"/>
        <sz val="9"/>
        <rFont val="Gotham Book"/>
      </rPr>
      <t xml:space="preserve">2/ </t>
    </r>
    <r>
      <rPr>
        <sz val="9"/>
        <rFont val="Gotham Book"/>
      </rPr>
      <t>Incluye los cantones no señalados con un asterisco en los cuadros 40, 41, 42, 43, 44, 45 y 46.</t>
    </r>
  </si>
  <si>
    <r>
      <t xml:space="preserve">Dentro del GAM </t>
    </r>
    <r>
      <rPr>
        <b/>
        <vertAlign val="superscript"/>
        <sz val="10"/>
        <color indexed="9"/>
        <rFont val="Gotham Book"/>
      </rPr>
      <t>1/</t>
    </r>
  </si>
  <si>
    <r>
      <t xml:space="preserve">Fuera del GAM </t>
    </r>
    <r>
      <rPr>
        <b/>
        <vertAlign val="superscript"/>
        <sz val="10"/>
        <color indexed="9"/>
        <rFont val="Gotham Book"/>
      </rPr>
      <t>2/</t>
    </r>
  </si>
  <si>
    <r>
      <rPr>
        <vertAlign val="superscript"/>
        <sz val="9"/>
        <rFont val="Gotham Book"/>
      </rPr>
      <t>1/</t>
    </r>
    <r>
      <rPr>
        <sz val="9"/>
        <rFont val="Gotham Book"/>
      </rPr>
      <t xml:space="preserve"> A partir del año 2015, la indagación de uso de internet es diferente a la empleada en los años anteriores.</t>
    </r>
  </si>
  <si>
    <r>
      <rPr>
        <vertAlign val="superscript"/>
        <sz val="9"/>
        <rFont val="Gotham Book"/>
      </rPr>
      <t>2/</t>
    </r>
    <r>
      <rPr>
        <sz val="9"/>
        <rFont val="Gotham Book"/>
      </rPr>
      <t xml:space="preserve"> Primera infancia incluye únicamente a la población de 2 a 4 años, a diferencia del 2015 que incluye de 0 a 4 años.</t>
    </r>
  </si>
  <si>
    <r>
      <t xml:space="preserve">Sin uso de internet </t>
    </r>
    <r>
      <rPr>
        <vertAlign val="superscript"/>
        <sz val="10"/>
        <color indexed="8"/>
        <rFont val="Gotham Book"/>
      </rPr>
      <t>1/</t>
    </r>
  </si>
  <si>
    <r>
      <t xml:space="preserve">Primera infancia sin cuido </t>
    </r>
    <r>
      <rPr>
        <vertAlign val="superscript"/>
        <sz val="10"/>
        <color indexed="8"/>
        <rFont val="Gotham Book"/>
      </rPr>
      <t>2/</t>
    </r>
  </si>
  <si>
    <r>
      <rPr>
        <b/>
        <sz val="12"/>
        <color indexed="49"/>
        <rFont val="Gotham Book"/>
      </rPr>
      <t xml:space="preserve">Nota aclaratoria: 
</t>
    </r>
    <r>
      <rPr>
        <sz val="12"/>
        <color indexed="49"/>
        <rFont val="Gotham Book"/>
      </rPr>
      <t xml:space="preserve">
Se recuerda que aquellos cuadros que tienen datos sobre variables similares, pero con fuentes distintas, no son comparables; dadas las diferencias metodológicas.                                                                                                                                                                                            </t>
    </r>
    <r>
      <rPr>
        <b/>
        <sz val="12"/>
        <color indexed="46"/>
        <rFont val="Cambria"/>
        <family val="1"/>
      </rPr>
      <t/>
    </r>
  </si>
  <si>
    <r>
      <t>Nota aclaratoria:</t>
    </r>
    <r>
      <rPr>
        <sz val="9"/>
        <color indexed="9"/>
        <rFont val="Gotham Book"/>
      </rPr>
      <t xml:space="preserve"> es importante destacar el hecho de que este capítulo se basa en los datos oficiales suministrados por el BANHVI, </t>
    </r>
    <r>
      <rPr>
        <i/>
        <sz val="9"/>
        <color indexed="9"/>
        <rFont val="Gotham Book"/>
      </rPr>
      <t>cuando fue elaborada cada una de las versiones de los respectivos años</t>
    </r>
    <r>
      <rPr>
        <sz val="9"/>
        <color indexed="9"/>
        <rFont val="Gotham Book"/>
      </rPr>
      <t xml:space="preserve">, </t>
    </r>
    <r>
      <rPr>
        <i/>
        <sz val="9"/>
        <color indexed="9"/>
        <rFont val="Gotham Book"/>
      </rPr>
      <t>independientemente, de las modificaciones (actualizaciones) que el Banco haya realizado o vaya a realizar, a través del tiempo</t>
    </r>
    <r>
      <rPr>
        <sz val="9"/>
        <color indexed="9"/>
        <rFont val="Gotham Book"/>
      </rPr>
      <t>; de manera que es posible hallar diferencias, al hacer comparaciones con la información que aparece en la página web de dicha entidad.</t>
    </r>
  </si>
  <si>
    <t xml:space="preserve">  Puriscal*</t>
  </si>
  <si>
    <t xml:space="preserve">  Turrubares*</t>
  </si>
  <si>
    <t xml:space="preserve">  San Ramón*</t>
  </si>
  <si>
    <t xml:space="preserve">  Grecia*</t>
  </si>
  <si>
    <t xml:space="preserve">  San Mateo*</t>
  </si>
  <si>
    <t xml:space="preserve">  Orotina*</t>
  </si>
  <si>
    <t>El Guarco*</t>
  </si>
  <si>
    <t>Turrialba*</t>
  </si>
  <si>
    <t>Jiménez*</t>
  </si>
  <si>
    <t>Número de BFV pagados según cantón. Provincia de San José. 2010-2018.</t>
  </si>
  <si>
    <t>Número de BFV pagados según cantón. Provincia de Alajuela. 2010-2018.</t>
  </si>
  <si>
    <t>Número de BFV pagados por cantón. Provincia de Cartago. 2010-2018.</t>
  </si>
  <si>
    <t>Número de BFV pagados por cantón. Provincia de Heredia. 2010-2018.</t>
  </si>
  <si>
    <t>Número de BFV pagados por cantón. Provincia de Guanacaste. 2010-2018.</t>
  </si>
  <si>
    <t>Número de BFV pagados por cantón. Provincia de Puntarenas. 2010-2018.</t>
  </si>
  <si>
    <t>Número de BFV pagados por cantón. Provincia de Limón. 2010-2018.</t>
  </si>
  <si>
    <t>Número de BFV pagados dentro y fuera del Gran Área Metropolitana. 2010-2018.</t>
  </si>
  <si>
    <t>* Cantones considerados dentro del Gran Área Metropolitana (GAM), aunque sólo tengan un distrito dentro de ésta.</t>
  </si>
  <si>
    <t>Número de BFV pagados por distrito. 2010-2018.</t>
  </si>
  <si>
    <t xml:space="preserve">Número de BFV pagados por distrito. 2010-2018              </t>
  </si>
  <si>
    <t>Total del período 2010-2018</t>
  </si>
  <si>
    <t>Peso relativo con respecto al total del período 2010-2018</t>
  </si>
  <si>
    <t>Metros cuadrados construidos en obras habitacionales, según tipo de obra. 2016-2017.</t>
  </si>
  <si>
    <t>Tasa de variación anual 2016-2017</t>
  </si>
  <si>
    <t>Gráfico 3</t>
  </si>
  <si>
    <r>
      <t xml:space="preserve">No tiene </t>
    </r>
    <r>
      <rPr>
        <b/>
        <vertAlign val="superscript"/>
        <sz val="10"/>
        <color theme="0"/>
        <rFont val="Gotham Book"/>
      </rPr>
      <t>1/</t>
    </r>
    <r>
      <rPr>
        <b/>
        <sz val="10"/>
        <color theme="0"/>
        <rFont val="Gotham Book"/>
      </rPr>
      <t xml:space="preserve"> </t>
    </r>
  </si>
  <si>
    <t>Banco estatal colones</t>
  </si>
  <si>
    <t>Banco estatal dólares</t>
  </si>
  <si>
    <t>Banco privado colones</t>
  </si>
  <si>
    <t>Banco privado dólares</t>
  </si>
  <si>
    <t>Entidad financiera no bancaria colones</t>
  </si>
  <si>
    <t>Entidad financiera no bancaria dólares</t>
  </si>
  <si>
    <t>Ver posibilidad de hacer un mapa para cada categoria</t>
  </si>
  <si>
    <t>Regional</t>
  </si>
  <si>
    <t>Cuadro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</si>
</sst>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(* #,##0.00_);_(* \(#,##0.00\);_(* &quot;-&quot;??_);_(@_)"/>
    <numFmt numFmtId="165" formatCode="0.0"/>
    <numFmt numFmtId="166" formatCode="#,##0.0"/>
    <numFmt numFmtId="167" formatCode="0.0%"/>
    <numFmt numFmtId="168" formatCode="#,##0____"/>
    <numFmt numFmtId="169" formatCode="0.0______"/>
    <numFmt numFmtId="170" formatCode="#,##0______"/>
    <numFmt numFmtId="171" formatCode="#,##0.0______"/>
    <numFmt numFmtId="172" formatCode="0.0000"/>
    <numFmt numFmtId="173" formatCode="#,##0.000"/>
    <numFmt numFmtId="174" formatCode="#,##0.00000"/>
    <numFmt numFmtId="175" formatCode="0.00______"/>
    <numFmt numFmtId="176" formatCode="#,##0.0____"/>
    <numFmt numFmtId="177" formatCode="#,##0.0000______"/>
    <numFmt numFmtId="178" formatCode="#,##0;[Red]#,##0"/>
    <numFmt numFmtId="179" formatCode="#,##0.0;[Red]#,##0.0"/>
    <numFmt numFmtId="180" formatCode="0.0____"/>
    <numFmt numFmtId="181" formatCode="#,##0__"/>
    <numFmt numFmtId="182" formatCode="###\ ###\ ##0"/>
    <numFmt numFmtId="183" formatCode="###.0\ ###\ ##0"/>
    <numFmt numFmtId="184" formatCode="###\ ###\ ###"/>
    <numFmt numFmtId="185" formatCode="&quot;₡&quot;#,##0"/>
  </numFmts>
  <fonts count="103">
    <font>
      <sz val="10"/>
      <name val="Arial"/>
    </font>
    <font>
      <sz val="10"/>
      <name val="Arial"/>
    </font>
    <font>
      <u/>
      <sz val="10"/>
      <color indexed="12"/>
      <name val="Arial"/>
      <family val="2"/>
    </font>
    <font>
      <sz val="12"/>
      <name val="Courier New"/>
      <family val="3"/>
    </font>
    <font>
      <sz val="10"/>
      <name val="Courier New"/>
      <family val="3"/>
    </font>
    <font>
      <b/>
      <sz val="10"/>
      <name val="Courier New"/>
      <family val="3"/>
    </font>
    <font>
      <sz val="8"/>
      <name val="Arial"/>
      <family val="2"/>
    </font>
    <font>
      <sz val="11"/>
      <name val="Courier New"/>
      <family val="3"/>
    </font>
    <font>
      <b/>
      <sz val="11"/>
      <name val="Courier New"/>
      <family val="3"/>
    </font>
    <font>
      <b/>
      <i/>
      <sz val="14"/>
      <name val="Courier New"/>
      <family val="3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9"/>
      <name val="Courier New"/>
      <family val="3"/>
    </font>
    <font>
      <sz val="11"/>
      <name val="Arial"/>
      <family val="2"/>
    </font>
    <font>
      <sz val="11"/>
      <name val="Calibri"/>
      <family val="2"/>
    </font>
    <font>
      <sz val="16"/>
      <name val="Courier New"/>
      <family val="3"/>
    </font>
    <font>
      <sz val="18"/>
      <name val="Courier New"/>
      <family val="3"/>
    </font>
    <font>
      <b/>
      <sz val="16"/>
      <name val="Courier New"/>
      <family val="3"/>
    </font>
    <font>
      <i/>
      <sz val="10"/>
      <name val="Arial"/>
      <family val="2"/>
    </font>
    <font>
      <b/>
      <sz val="10"/>
      <color indexed="10"/>
      <name val="Arial"/>
      <family val="2"/>
    </font>
    <font>
      <b/>
      <sz val="12"/>
      <name val="Courier New"/>
      <family val="3"/>
    </font>
    <font>
      <b/>
      <i/>
      <sz val="11"/>
      <name val="Courier New"/>
      <family val="3"/>
    </font>
    <font>
      <sz val="10"/>
      <name val="Arial"/>
      <family val="2"/>
    </font>
    <font>
      <b/>
      <sz val="11"/>
      <name val="Arial"/>
      <family val="2"/>
    </font>
    <font>
      <i/>
      <sz val="12"/>
      <name val="Courier New"/>
      <family val="3"/>
    </font>
    <font>
      <sz val="11"/>
      <name val="Times New Roman"/>
      <family val="1"/>
    </font>
    <font>
      <u val="double"/>
      <sz val="10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2"/>
      <name val="Courier New"/>
      <family val="5"/>
    </font>
    <font>
      <u val="double"/>
      <sz val="12"/>
      <name val="Courier New"/>
      <family val="3"/>
    </font>
    <font>
      <sz val="8"/>
      <name val="Tahoma"/>
      <family val="2"/>
    </font>
    <font>
      <b/>
      <sz val="9"/>
      <name val="Tahoma"/>
      <family val="2"/>
    </font>
    <font>
      <b/>
      <sz val="12"/>
      <color indexed="46"/>
      <name val="Cambria"/>
      <family val="1"/>
    </font>
    <font>
      <sz val="10"/>
      <name val="Arial CE"/>
    </font>
    <font>
      <sz val="10"/>
      <name val="Gotham Book"/>
    </font>
    <font>
      <b/>
      <sz val="11"/>
      <color indexed="9"/>
      <name val="Gotham Book"/>
    </font>
    <font>
      <b/>
      <vertAlign val="superscript"/>
      <sz val="11"/>
      <color indexed="9"/>
      <name val="Gotham Book"/>
    </font>
    <font>
      <sz val="11"/>
      <name val="Gotham Book"/>
    </font>
    <font>
      <vertAlign val="superscript"/>
      <sz val="10"/>
      <name val="Gotham Book"/>
    </font>
    <font>
      <sz val="9"/>
      <name val="Gotham Book"/>
    </font>
    <font>
      <vertAlign val="superscript"/>
      <sz val="9"/>
      <name val="Gotham Book"/>
    </font>
    <font>
      <b/>
      <sz val="9"/>
      <name val="Gotham Book"/>
    </font>
    <font>
      <b/>
      <vertAlign val="superscript"/>
      <sz val="10"/>
      <color indexed="9"/>
      <name val="Gotham Book"/>
    </font>
    <font>
      <sz val="16"/>
      <name val="Gotham Book"/>
    </font>
    <font>
      <b/>
      <sz val="11"/>
      <name val="Gotham Book"/>
    </font>
    <font>
      <vertAlign val="superscript"/>
      <sz val="9"/>
      <color indexed="8"/>
      <name val="Gotham Book"/>
    </font>
    <font>
      <sz val="9"/>
      <color indexed="8"/>
      <name val="Gotham Book"/>
    </font>
    <font>
      <sz val="10"/>
      <color indexed="12"/>
      <name val="Gotham Book"/>
    </font>
    <font>
      <sz val="10"/>
      <color indexed="8"/>
      <name val="Gotham Book"/>
    </font>
    <font>
      <b/>
      <sz val="10"/>
      <color indexed="9"/>
      <name val="Gotham Book"/>
    </font>
    <font>
      <sz val="12"/>
      <name val="Gotham Book"/>
    </font>
    <font>
      <i/>
      <sz val="11"/>
      <name val="Gotham Book"/>
    </font>
    <font>
      <b/>
      <sz val="10"/>
      <color indexed="8"/>
      <name val="Gotham Book"/>
    </font>
    <font>
      <b/>
      <sz val="10"/>
      <name val="Gotham Book"/>
    </font>
    <font>
      <vertAlign val="superscript"/>
      <sz val="10"/>
      <color indexed="8"/>
      <name val="Gotham Book"/>
    </font>
    <font>
      <sz val="12"/>
      <color indexed="49"/>
      <name val="Gotham Book"/>
    </font>
    <font>
      <b/>
      <sz val="12"/>
      <color indexed="49"/>
      <name val="Gotham Book"/>
    </font>
    <font>
      <sz val="9"/>
      <color indexed="9"/>
      <name val="Gotham Book"/>
    </font>
    <font>
      <i/>
      <sz val="9"/>
      <color indexed="9"/>
      <name val="Gotham Book"/>
    </font>
    <font>
      <sz val="11"/>
      <color theme="1"/>
      <name val="Calibri"/>
      <family val="2"/>
      <scheme val="minor"/>
    </font>
    <font>
      <b/>
      <sz val="20"/>
      <color theme="6" tint="-0.249977111117893"/>
      <name val="Cambria"/>
      <family val="1"/>
      <scheme val="major"/>
    </font>
    <font>
      <sz val="11"/>
      <color rgb="FF3366FF"/>
      <name val="Arial"/>
      <family val="2"/>
    </font>
    <font>
      <sz val="10"/>
      <color rgb="FFFF0000"/>
      <name val="Arial"/>
      <family val="2"/>
    </font>
    <font>
      <sz val="11"/>
      <color rgb="FF000000"/>
      <name val="Arial"/>
      <family val="2"/>
    </font>
    <font>
      <b/>
      <sz val="11"/>
      <color theme="0"/>
      <name val="Arial"/>
      <family val="2"/>
    </font>
    <font>
      <sz val="10"/>
      <color rgb="FF000000"/>
      <name val="Arial"/>
      <family val="2"/>
    </font>
    <font>
      <sz val="10"/>
      <name val="Calibri"/>
      <family val="2"/>
      <scheme val="minor"/>
    </font>
    <font>
      <sz val="11"/>
      <color rgb="FFFF0000"/>
      <name val="Courier New"/>
      <family val="3"/>
    </font>
    <font>
      <b/>
      <sz val="11"/>
      <color rgb="FF052460"/>
      <name val="Gotham Book"/>
    </font>
    <font>
      <b/>
      <sz val="18"/>
      <color rgb="FFFF66FF"/>
      <name val="Gotham Book"/>
    </font>
    <font>
      <b/>
      <sz val="12"/>
      <color rgb="FF052460"/>
      <name val="Gotham Book"/>
    </font>
    <font>
      <sz val="10"/>
      <color rgb="FF004789"/>
      <name val="Gotham Book"/>
    </font>
    <font>
      <sz val="11"/>
      <color rgb="FF000000"/>
      <name val="Gotham Book"/>
    </font>
    <font>
      <sz val="10"/>
      <color rgb="FF000000"/>
      <name val="Gotham Book"/>
    </font>
    <font>
      <b/>
      <sz val="11"/>
      <color theme="0"/>
      <name val="Gotham Book"/>
    </font>
    <font>
      <b/>
      <sz val="10"/>
      <color theme="0"/>
      <name val="Gotham Book"/>
    </font>
    <font>
      <sz val="9"/>
      <color rgb="FF000000"/>
      <name val="Gotham Book"/>
    </font>
    <font>
      <b/>
      <sz val="10"/>
      <color rgb="FFFFFFFF"/>
      <name val="Gotham Book"/>
    </font>
    <font>
      <sz val="10"/>
      <color theme="1"/>
      <name val="Gotham Book"/>
    </font>
    <font>
      <b/>
      <sz val="11"/>
      <color rgb="FF004789"/>
      <name val="Gotham Book"/>
    </font>
    <font>
      <b/>
      <sz val="14"/>
      <color rgb="FFB43E97"/>
      <name val="Gotham Book"/>
    </font>
    <font>
      <b/>
      <sz val="18"/>
      <color rgb="FF052460"/>
      <name val="Gotham Book"/>
    </font>
    <font>
      <b/>
      <sz val="18"/>
      <color rgb="FF004789"/>
      <name val="Gotham Book"/>
    </font>
    <font>
      <sz val="12"/>
      <color rgb="FF3ABFC2"/>
      <name val="Gotham Book"/>
    </font>
    <font>
      <b/>
      <sz val="14"/>
      <color theme="0"/>
      <name val="Gotham Book"/>
    </font>
    <font>
      <u/>
      <sz val="10"/>
      <color rgb="FF004789"/>
      <name val="Gotham Book"/>
    </font>
    <font>
      <b/>
      <sz val="12"/>
      <color theme="0"/>
      <name val="Gotham Book"/>
    </font>
    <font>
      <b/>
      <sz val="12"/>
      <color rgb="FFFFFFFF"/>
      <name val="Gotham Book"/>
    </font>
    <font>
      <b/>
      <u/>
      <sz val="10"/>
      <color theme="0"/>
      <name val="Gotham Book"/>
    </font>
    <font>
      <sz val="9"/>
      <color rgb="FF000000"/>
      <name val="Arial"/>
      <family val="2"/>
    </font>
    <font>
      <b/>
      <sz val="12"/>
      <color rgb="FFFFFFFF"/>
      <name val="Arial"/>
      <family val="2"/>
    </font>
    <font>
      <b/>
      <sz val="11"/>
      <color rgb="FFFFFFFF"/>
      <name val="Arial"/>
      <family val="2"/>
    </font>
    <font>
      <b/>
      <sz val="9"/>
      <color theme="0"/>
      <name val="Gotham Book"/>
    </font>
    <font>
      <sz val="10"/>
      <color rgb="FF000000"/>
      <name val="Calibri"/>
      <family val="2"/>
      <scheme val="minor"/>
    </font>
    <font>
      <b/>
      <vertAlign val="superscript"/>
      <sz val="10"/>
      <color theme="0"/>
      <name val="Gotham Book"/>
    </font>
    <font>
      <sz val="8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047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246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slantDashDot">
        <color indexed="64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/>
      <top style="thick">
        <color theme="0"/>
      </top>
      <bottom style="thin">
        <color theme="0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medium">
        <color theme="0"/>
      </right>
      <top style="thick">
        <color theme="0"/>
      </top>
      <bottom style="medium">
        <color theme="0"/>
      </bottom>
      <diagonal/>
    </border>
    <border>
      <left/>
      <right/>
      <top style="thin">
        <color theme="0"/>
      </top>
      <bottom style="thick">
        <color theme="0"/>
      </bottom>
      <diagonal/>
    </border>
    <border>
      <left style="thin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/>
      <right/>
      <top/>
      <bottom style="thin">
        <color theme="0"/>
      </bottom>
      <diagonal/>
    </border>
    <border>
      <left style="mediumDashDotDot">
        <color rgb="FF3ABFC2"/>
      </left>
      <right/>
      <top style="mediumDashDotDot">
        <color rgb="FF3ABFC2"/>
      </top>
      <bottom style="mediumDashDotDot">
        <color rgb="FF3ABFC2"/>
      </bottom>
      <diagonal/>
    </border>
    <border>
      <left/>
      <right/>
      <top style="mediumDashDotDot">
        <color rgb="FF3ABFC2"/>
      </top>
      <bottom style="mediumDashDotDot">
        <color rgb="FF3ABFC2"/>
      </bottom>
      <diagonal/>
    </border>
    <border>
      <left/>
      <right style="mediumDashDotDot">
        <color rgb="FF3ABFC2"/>
      </right>
      <top style="mediumDashDotDot">
        <color rgb="FF3ABFC2"/>
      </top>
      <bottom style="mediumDashDotDot">
        <color rgb="FF3ABFC2"/>
      </bottom>
      <diagonal/>
    </border>
    <border>
      <left style="slantDashDot">
        <color rgb="FFFF3399"/>
      </left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/>
      <diagonal/>
    </border>
    <border>
      <left style="medium">
        <color theme="0"/>
      </left>
      <right/>
      <top style="medium">
        <color theme="0"/>
      </top>
      <bottom/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18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66" fillId="0" borderId="0"/>
    <xf numFmtId="0" fontId="66" fillId="0" borderId="0"/>
    <xf numFmtId="0" fontId="40" fillId="0" borderId="0"/>
    <xf numFmtId="0" fontId="10" fillId="0" borderId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613">
    <xf numFmtId="0" fontId="0" fillId="0" borderId="0" xfId="0"/>
    <xf numFmtId="0" fontId="4" fillId="0" borderId="0" xfId="0" applyFont="1"/>
    <xf numFmtId="0" fontId="5" fillId="0" borderId="0" xfId="0" applyFont="1"/>
    <xf numFmtId="0" fontId="10" fillId="0" borderId="0" xfId="0" applyFont="1"/>
    <xf numFmtId="0" fontId="12" fillId="0" borderId="0" xfId="0" applyFont="1"/>
    <xf numFmtId="0" fontId="15" fillId="0" borderId="0" xfId="0" applyFont="1"/>
    <xf numFmtId="0" fontId="11" fillId="0" borderId="0" xfId="0" applyFont="1"/>
    <xf numFmtId="0" fontId="16" fillId="0" borderId="0" xfId="0" applyFont="1" applyAlignment="1">
      <alignment horizontal="left"/>
    </xf>
    <xf numFmtId="0" fontId="1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9" fillId="0" borderId="0" xfId="0" applyFont="1"/>
    <xf numFmtId="0" fontId="18" fillId="0" borderId="0" xfId="0" applyFont="1"/>
    <xf numFmtId="0" fontId="18" fillId="0" borderId="0" xfId="0" applyFont="1" applyAlignment="1">
      <alignment vertical="justify"/>
    </xf>
    <xf numFmtId="170" fontId="7" fillId="0" borderId="0" xfId="0" applyNumberFormat="1" applyFont="1" applyAlignment="1">
      <alignment horizontal="center" vertical="center" wrapText="1"/>
    </xf>
    <xf numFmtId="0" fontId="19" fillId="0" borderId="0" xfId="0" applyFont="1"/>
    <xf numFmtId="177" fontId="10" fillId="0" borderId="0" xfId="0" applyNumberFormat="1" applyFont="1"/>
    <xf numFmtId="167" fontId="10" fillId="0" borderId="0" xfId="9" applyNumberFormat="1" applyFont="1"/>
    <xf numFmtId="0" fontId="21" fillId="0" borderId="0" xfId="0" applyFont="1"/>
    <xf numFmtId="0" fontId="67" fillId="0" borderId="0" xfId="0" applyFont="1" applyAlignment="1">
      <alignment vertical="center"/>
    </xf>
    <xf numFmtId="0" fontId="22" fillId="0" borderId="0" xfId="0" applyFont="1"/>
    <xf numFmtId="0" fontId="23" fillId="0" borderId="0" xfId="0" applyFont="1"/>
    <xf numFmtId="0" fontId="10" fillId="0" borderId="0" xfId="4"/>
    <xf numFmtId="0" fontId="3" fillId="0" borderId="0" xfId="4" applyFont="1"/>
    <xf numFmtId="0" fontId="4" fillId="0" borderId="0" xfId="4" applyFont="1"/>
    <xf numFmtId="0" fontId="7" fillId="0" borderId="0" xfId="4" applyFont="1"/>
    <xf numFmtId="165" fontId="10" fillId="0" borderId="0" xfId="4" applyNumberFormat="1"/>
    <xf numFmtId="3" fontId="10" fillId="0" borderId="0" xfId="4" applyNumberFormat="1"/>
    <xf numFmtId="0" fontId="27" fillId="0" borderId="0" xfId="0" applyFont="1"/>
    <xf numFmtId="3" fontId="0" fillId="0" borderId="0" xfId="0" applyNumberFormat="1"/>
    <xf numFmtId="3" fontId="7" fillId="0" borderId="0" xfId="0" applyNumberFormat="1" applyFont="1"/>
    <xf numFmtId="0" fontId="29" fillId="0" borderId="0" xfId="0" applyFont="1"/>
    <xf numFmtId="3" fontId="19" fillId="0" borderId="0" xfId="0" applyNumberFormat="1" applyFont="1"/>
    <xf numFmtId="0" fontId="19" fillId="0" borderId="0" xfId="0" applyFont="1" applyAlignment="1">
      <alignment horizontal="left" vertical="justify"/>
    </xf>
    <xf numFmtId="165" fontId="19" fillId="0" borderId="0" xfId="0" applyNumberFormat="1" applyFont="1"/>
    <xf numFmtId="0" fontId="28" fillId="0" borderId="0" xfId="0" applyFont="1"/>
    <xf numFmtId="0" fontId="68" fillId="0" borderId="0" xfId="0" applyFont="1"/>
    <xf numFmtId="167" fontId="7" fillId="0" borderId="0" xfId="13" applyNumberFormat="1" applyFont="1" applyAlignment="1">
      <alignment horizontal="center"/>
    </xf>
    <xf numFmtId="167" fontId="7" fillId="0" borderId="0" xfId="0" applyNumberFormat="1" applyFont="1" applyAlignment="1">
      <alignment horizontal="center"/>
    </xf>
    <xf numFmtId="0" fontId="7" fillId="0" borderId="0" xfId="0" quotePrefix="1" applyFont="1"/>
    <xf numFmtId="0" fontId="7" fillId="0" borderId="0" xfId="0" quotePrefix="1" applyFont="1" applyAlignment="1">
      <alignment vertical="justify"/>
    </xf>
    <xf numFmtId="0" fontId="7" fillId="0" borderId="0" xfId="0" quotePrefix="1" applyFont="1" applyAlignment="1">
      <alignment horizontal="center"/>
    </xf>
    <xf numFmtId="166" fontId="7" fillId="0" borderId="0" xfId="0" applyNumberFormat="1" applyFont="1"/>
    <xf numFmtId="173" fontId="7" fillId="0" borderId="0" xfId="0" applyNumberFormat="1" applyFont="1"/>
    <xf numFmtId="0" fontId="20" fillId="0" borderId="0" xfId="0" applyFont="1" applyAlignment="1">
      <alignment horizontal="right" vertical="center"/>
    </xf>
    <xf numFmtId="0" fontId="69" fillId="0" borderId="0" xfId="0" applyFont="1"/>
    <xf numFmtId="167" fontId="7" fillId="0" borderId="0" xfId="13" applyNumberFormat="1" applyFont="1" applyAlignment="1">
      <alignment horizontal="center" vertical="center" wrapText="1"/>
    </xf>
    <xf numFmtId="170" fontId="10" fillId="0" borderId="0" xfId="0" applyNumberFormat="1" applyFont="1"/>
    <xf numFmtId="0" fontId="7" fillId="0" borderId="0" xfId="0" quotePrefix="1" applyFont="1" applyAlignment="1">
      <alignment horizontal="left"/>
    </xf>
    <xf numFmtId="3" fontId="11" fillId="0" borderId="0" xfId="0" applyNumberFormat="1" applyFont="1"/>
    <xf numFmtId="3" fontId="11" fillId="0" borderId="0" xfId="0" applyNumberFormat="1" applyFont="1" applyAlignment="1">
      <alignment horizontal="right"/>
    </xf>
    <xf numFmtId="0" fontId="17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30" fillId="0" borderId="0" xfId="0" applyFont="1"/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horizontal="justify" vertical="top"/>
    </xf>
    <xf numFmtId="0" fontId="26" fillId="0" borderId="0" xfId="0" applyFont="1" applyAlignment="1">
      <alignment horizontal="left"/>
    </xf>
    <xf numFmtId="0" fontId="11" fillId="0" borderId="0" xfId="0" applyFont="1" applyAlignment="1">
      <alignment horizontal="justify" vertical="top"/>
    </xf>
    <xf numFmtId="3" fontId="11" fillId="0" borderId="0" xfId="0" applyNumberFormat="1" applyFont="1" applyAlignment="1">
      <alignment horizontal="right" vertical="top"/>
    </xf>
    <xf numFmtId="0" fontId="17" fillId="0" borderId="0" xfId="0" applyFont="1" applyAlignment="1">
      <alignment horizontal="justify" vertical="top"/>
    </xf>
    <xf numFmtId="0" fontId="14" fillId="0" borderId="0" xfId="0" applyFont="1" applyAlignment="1">
      <alignment horizontal="center"/>
    </xf>
    <xf numFmtId="0" fontId="14" fillId="0" borderId="0" xfId="0" applyFont="1"/>
    <xf numFmtId="3" fontId="14" fillId="0" borderId="0" xfId="0" applyNumberFormat="1" applyFont="1"/>
    <xf numFmtId="171" fontId="10" fillId="0" borderId="0" xfId="0" applyNumberFormat="1" applyFont="1"/>
    <xf numFmtId="166" fontId="10" fillId="0" borderId="0" xfId="0" applyNumberFormat="1" applyFont="1"/>
    <xf numFmtId="167" fontId="10" fillId="0" borderId="0" xfId="13" applyNumberFormat="1" applyFont="1"/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31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right" wrapText="1"/>
    </xf>
    <xf numFmtId="167" fontId="11" fillId="0" borderId="0" xfId="0" applyNumberFormat="1" applyFont="1" applyAlignment="1">
      <alignment horizontal="right" wrapText="1"/>
    </xf>
    <xf numFmtId="170" fontId="4" fillId="0" borderId="0" xfId="0" applyNumberFormat="1" applyFont="1"/>
    <xf numFmtId="170" fontId="3" fillId="0" borderId="0" xfId="0" applyNumberFormat="1" applyFont="1"/>
    <xf numFmtId="170" fontId="11" fillId="0" borderId="0" xfId="0" applyNumberFormat="1" applyFont="1"/>
    <xf numFmtId="0" fontId="18" fillId="0" borderId="0" xfId="0" quotePrefix="1" applyFont="1" applyAlignment="1">
      <alignment vertical="top"/>
    </xf>
    <xf numFmtId="167" fontId="7" fillId="0" borderId="0" xfId="13" applyNumberFormat="1" applyFont="1" applyAlignment="1">
      <alignment horizontal="center" vertical="center"/>
    </xf>
    <xf numFmtId="168" fontId="10" fillId="0" borderId="0" xfId="0" quotePrefix="1" applyNumberFormat="1" applyFont="1" applyAlignment="1">
      <alignment horizontal="left"/>
    </xf>
    <xf numFmtId="168" fontId="10" fillId="0" borderId="0" xfId="0" applyNumberFormat="1" applyFont="1" applyAlignment="1">
      <alignment horizontal="right"/>
    </xf>
    <xf numFmtId="168" fontId="24" fillId="0" borderId="0" xfId="0" applyNumberFormat="1" applyFont="1"/>
    <xf numFmtId="176" fontId="10" fillId="0" borderId="0" xfId="0" applyNumberFormat="1" applyFont="1" applyAlignment="1">
      <alignment horizontal="right"/>
    </xf>
    <xf numFmtId="168" fontId="24" fillId="0" borderId="0" xfId="0" applyNumberFormat="1" applyFont="1" applyAlignment="1">
      <alignment horizontal="left" vertical="top" wrapText="1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167" fontId="10" fillId="0" borderId="0" xfId="0" applyNumberFormat="1" applyFont="1" applyAlignment="1">
      <alignment horizontal="right"/>
    </xf>
    <xf numFmtId="0" fontId="24" fillId="0" borderId="0" xfId="0" applyFont="1" applyAlignment="1">
      <alignment horizontal="left" vertical="top" wrapText="1"/>
    </xf>
    <xf numFmtId="167" fontId="10" fillId="0" borderId="0" xfId="0" applyNumberFormat="1" applyFont="1" applyAlignment="1">
      <alignment horizontal="right" vertical="top" wrapText="1"/>
    </xf>
    <xf numFmtId="0" fontId="24" fillId="0" borderId="0" xfId="0" applyFont="1"/>
    <xf numFmtId="0" fontId="10" fillId="0" borderId="0" xfId="0" applyFont="1" applyAlignment="1">
      <alignment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3" fontId="15" fillId="0" borderId="0" xfId="0" applyNumberFormat="1" applyFont="1" applyAlignment="1">
      <alignment horizontal="center" vertical="top" wrapText="1"/>
    </xf>
    <xf numFmtId="3" fontId="15" fillId="0" borderId="0" xfId="0" applyNumberFormat="1" applyFont="1" applyAlignment="1">
      <alignment horizontal="center" wrapText="1"/>
    </xf>
    <xf numFmtId="3" fontId="10" fillId="0" borderId="0" xfId="0" applyNumberFormat="1" applyFont="1"/>
    <xf numFmtId="3" fontId="10" fillId="0" borderId="0" xfId="0" applyNumberFormat="1" applyFont="1" applyAlignment="1">
      <alignment horizontal="right" vertical="top" wrapText="1"/>
    </xf>
    <xf numFmtId="3" fontId="24" fillId="0" borderId="0" xfId="0" applyNumberFormat="1" applyFont="1"/>
    <xf numFmtId="3" fontId="24" fillId="0" borderId="0" xfId="0" applyNumberFormat="1" applyFont="1" applyAlignment="1">
      <alignment horizontal="right" vertical="top" wrapText="1"/>
    </xf>
    <xf numFmtId="3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justify" vertical="top"/>
    </xf>
    <xf numFmtId="167" fontId="10" fillId="0" borderId="0" xfId="0" applyNumberFormat="1" applyFont="1"/>
    <xf numFmtId="0" fontId="10" fillId="0" borderId="0" xfId="0" applyFont="1" applyAlignment="1">
      <alignment horizontal="center"/>
    </xf>
    <xf numFmtId="3" fontId="15" fillId="0" borderId="0" xfId="0" applyNumberFormat="1" applyFont="1" applyAlignment="1">
      <alignment horizontal="right"/>
    </xf>
    <xf numFmtId="0" fontId="24" fillId="0" borderId="0" xfId="0" applyFont="1" applyAlignment="1">
      <alignment horizontal="left"/>
    </xf>
    <xf numFmtId="10" fontId="10" fillId="0" borderId="0" xfId="0" applyNumberFormat="1" applyFont="1"/>
    <xf numFmtId="10" fontId="10" fillId="0" borderId="0" xfId="0" applyNumberFormat="1" applyFont="1" applyAlignment="1">
      <alignment horizontal="right"/>
    </xf>
    <xf numFmtId="10" fontId="15" fillId="0" borderId="0" xfId="0" applyNumberFormat="1" applyFont="1" applyAlignment="1">
      <alignment horizontal="right"/>
    </xf>
    <xf numFmtId="10" fontId="15" fillId="0" borderId="0" xfId="0" applyNumberFormat="1" applyFont="1"/>
    <xf numFmtId="0" fontId="10" fillId="0" borderId="0" xfId="0" applyFont="1" applyAlignment="1">
      <alignment horizontal="right"/>
    </xf>
    <xf numFmtId="9" fontId="32" fillId="0" borderId="0" xfId="0" applyNumberFormat="1" applyFont="1"/>
    <xf numFmtId="0" fontId="33" fillId="0" borderId="0" xfId="0" applyFont="1"/>
    <xf numFmtId="3" fontId="10" fillId="0" borderId="0" xfId="0" applyNumberFormat="1" applyFont="1" applyAlignment="1">
      <alignment horizontal="center"/>
    </xf>
    <xf numFmtId="0" fontId="8" fillId="0" borderId="0" xfId="0" applyFont="1"/>
    <xf numFmtId="168" fontId="11" fillId="0" borderId="0" xfId="0" applyNumberFormat="1" applyFont="1"/>
    <xf numFmtId="0" fontId="11" fillId="0" borderId="0" xfId="0" applyFont="1" applyAlignment="1">
      <alignment vertical="top" wrapText="1"/>
    </xf>
    <xf numFmtId="179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wrapText="1"/>
    </xf>
    <xf numFmtId="168" fontId="10" fillId="0" borderId="0" xfId="0" applyNumberFormat="1" applyFont="1"/>
    <xf numFmtId="175" fontId="7" fillId="0" borderId="0" xfId="0" applyNumberFormat="1" applyFont="1" applyAlignment="1">
      <alignment horizontal="center"/>
    </xf>
    <xf numFmtId="167" fontId="10" fillId="0" borderId="0" xfId="13" applyNumberFormat="1" applyFont="1" applyAlignment="1">
      <alignment horizontal="right"/>
    </xf>
    <xf numFmtId="169" fontId="10" fillId="0" borderId="0" xfId="0" applyNumberFormat="1" applyFont="1" applyAlignment="1">
      <alignment horizontal="right"/>
    </xf>
    <xf numFmtId="175" fontId="10" fillId="0" borderId="0" xfId="0" applyNumberFormat="1" applyFont="1"/>
    <xf numFmtId="170" fontId="7" fillId="0" borderId="0" xfId="4" applyNumberFormat="1" applyFont="1" applyAlignment="1">
      <alignment horizontal="center" vertical="center" wrapText="1"/>
    </xf>
    <xf numFmtId="4" fontId="7" fillId="0" borderId="0" xfId="0" applyNumberFormat="1" applyFont="1"/>
    <xf numFmtId="0" fontId="7" fillId="0" borderId="0" xfId="4" applyFont="1" applyAlignment="1">
      <alignment horizontal="center"/>
    </xf>
    <xf numFmtId="0" fontId="4" fillId="0" borderId="0" xfId="4" applyFont="1" applyAlignment="1">
      <alignment horizontal="center"/>
    </xf>
    <xf numFmtId="0" fontId="25" fillId="0" borderId="0" xfId="4" applyFont="1"/>
    <xf numFmtId="174" fontId="4" fillId="0" borderId="0" xfId="4" applyNumberFormat="1" applyFont="1"/>
    <xf numFmtId="3" fontId="4" fillId="0" borderId="0" xfId="4" applyNumberFormat="1" applyFont="1"/>
    <xf numFmtId="173" fontId="4" fillId="0" borderId="0" xfId="4" applyNumberFormat="1" applyFont="1"/>
    <xf numFmtId="166" fontId="10" fillId="0" borderId="0" xfId="4" applyNumberFormat="1"/>
    <xf numFmtId="172" fontId="4" fillId="0" borderId="0" xfId="4" applyNumberFormat="1" applyFont="1"/>
    <xf numFmtId="168" fontId="10" fillId="0" borderId="0" xfId="4" applyNumberFormat="1"/>
    <xf numFmtId="0" fontId="4" fillId="0" borderId="0" xfId="4" applyFont="1" applyAlignment="1">
      <alignment horizontal="justify" vertical="justify"/>
    </xf>
    <xf numFmtId="167" fontId="10" fillId="0" borderId="0" xfId="4" applyNumberFormat="1"/>
    <xf numFmtId="170" fontId="10" fillId="0" borderId="0" xfId="4" applyNumberFormat="1"/>
    <xf numFmtId="167" fontId="4" fillId="0" borderId="0" xfId="13" applyNumberFormat="1" applyFont="1" applyAlignment="1">
      <alignment horizontal="justify" vertical="justify"/>
    </xf>
    <xf numFmtId="0" fontId="4" fillId="0" borderId="0" xfId="4" applyFont="1" applyAlignment="1">
      <alignment horizontal="left"/>
    </xf>
    <xf numFmtId="168" fontId="4" fillId="0" borderId="0" xfId="4" applyNumberFormat="1" applyFont="1" applyAlignment="1">
      <alignment horizontal="right"/>
    </xf>
    <xf numFmtId="180" fontId="4" fillId="0" borderId="0" xfId="4" applyNumberFormat="1" applyFont="1"/>
    <xf numFmtId="0" fontId="15" fillId="0" borderId="0" xfId="4" applyFont="1"/>
    <xf numFmtId="165" fontId="11" fillId="0" borderId="0" xfId="4" applyNumberFormat="1" applyFont="1"/>
    <xf numFmtId="165" fontId="3" fillId="0" borderId="0" xfId="4" applyNumberFormat="1" applyFont="1"/>
    <xf numFmtId="168" fontId="4" fillId="0" borderId="0" xfId="4" applyNumberFormat="1" applyFont="1"/>
    <xf numFmtId="167" fontId="4" fillId="0" borderId="0" xfId="4" applyNumberFormat="1" applyFont="1"/>
    <xf numFmtId="0" fontId="35" fillId="0" borderId="0" xfId="4" applyFont="1"/>
    <xf numFmtId="178" fontId="3" fillId="0" borderId="0" xfId="4" applyNumberFormat="1" applyFont="1" applyAlignment="1">
      <alignment horizontal="right"/>
    </xf>
    <xf numFmtId="178" fontId="36" fillId="0" borderId="0" xfId="4" applyNumberFormat="1" applyFont="1" applyAlignment="1">
      <alignment horizontal="right"/>
    </xf>
    <xf numFmtId="178" fontId="3" fillId="0" borderId="0" xfId="4" applyNumberFormat="1" applyFont="1"/>
    <xf numFmtId="178" fontId="4" fillId="0" borderId="0" xfId="4" applyNumberFormat="1" applyFont="1"/>
    <xf numFmtId="0" fontId="10" fillId="0" borderId="0" xfId="4" applyAlignment="1">
      <alignment horizontal="left"/>
    </xf>
    <xf numFmtId="178" fontId="10" fillId="0" borderId="0" xfId="4" applyNumberFormat="1"/>
    <xf numFmtId="0" fontId="10" fillId="0" borderId="0" xfId="4" quotePrefix="1" applyAlignment="1">
      <alignment horizontal="left"/>
    </xf>
    <xf numFmtId="0" fontId="4" fillId="0" borderId="0" xfId="4" quotePrefix="1" applyFont="1" applyAlignment="1">
      <alignment horizontal="left"/>
    </xf>
    <xf numFmtId="0" fontId="10" fillId="0" borderId="0" xfId="4" applyAlignment="1">
      <alignment horizontal="center"/>
    </xf>
    <xf numFmtId="0" fontId="15" fillId="0" borderId="0" xfId="4" applyFont="1" applyAlignment="1">
      <alignment horizontal="center"/>
    </xf>
    <xf numFmtId="0" fontId="5" fillId="0" borderId="0" xfId="4" applyFont="1"/>
    <xf numFmtId="0" fontId="4" fillId="0" borderId="0" xfId="4" applyFont="1" applyAlignment="1">
      <alignment horizontal="justify"/>
    </xf>
    <xf numFmtId="0" fontId="26" fillId="0" borderId="0" xfId="4" applyFont="1" applyAlignment="1">
      <alignment horizontal="center"/>
    </xf>
    <xf numFmtId="170" fontId="4" fillId="0" borderId="0" xfId="4" applyNumberFormat="1" applyFont="1" applyAlignment="1">
      <alignment horizontal="justify"/>
    </xf>
    <xf numFmtId="167" fontId="4" fillId="0" borderId="0" xfId="4" applyNumberFormat="1" applyFont="1" applyAlignment="1">
      <alignment horizontal="justify"/>
    </xf>
    <xf numFmtId="0" fontId="10" fillId="0" borderId="0" xfId="4" applyAlignment="1">
      <alignment horizontal="justify"/>
    </xf>
    <xf numFmtId="0" fontId="37" fillId="0" borderId="0" xfId="0" applyFont="1" applyAlignment="1">
      <alignment horizontal="center"/>
    </xf>
    <xf numFmtId="172" fontId="37" fillId="0" borderId="0" xfId="0" applyNumberFormat="1" applyFont="1" applyAlignment="1">
      <alignment horizontal="center"/>
    </xf>
    <xf numFmtId="2" fontId="0" fillId="0" borderId="0" xfId="0" applyNumberFormat="1"/>
    <xf numFmtId="10" fontId="0" fillId="0" borderId="0" xfId="14" applyNumberFormat="1" applyFont="1"/>
    <xf numFmtId="4" fontId="0" fillId="0" borderId="0" xfId="0" applyNumberFormat="1"/>
    <xf numFmtId="3" fontId="38" fillId="0" borderId="0" xfId="0" applyNumberFormat="1" applyFont="1" applyAlignment="1">
      <alignment horizontal="center"/>
    </xf>
    <xf numFmtId="3" fontId="31" fillId="0" borderId="0" xfId="0" applyNumberFormat="1" applyFont="1"/>
    <xf numFmtId="167" fontId="4" fillId="0" borderId="0" xfId="9" applyNumberFormat="1" applyFont="1"/>
    <xf numFmtId="168" fontId="10" fillId="0" borderId="0" xfId="4" applyNumberFormat="1" applyAlignment="1">
      <alignment horizontal="left"/>
    </xf>
    <xf numFmtId="167" fontId="4" fillId="0" borderId="0" xfId="9" applyNumberFormat="1" applyFont="1" applyAlignment="1">
      <alignment horizontal="justify"/>
    </xf>
    <xf numFmtId="167" fontId="19" fillId="0" borderId="0" xfId="9" applyNumberFormat="1" applyFont="1"/>
    <xf numFmtId="167" fontId="4" fillId="0" borderId="0" xfId="4" applyNumberFormat="1" applyFont="1" applyAlignment="1">
      <alignment horizontal="justify" vertical="justify"/>
    </xf>
    <xf numFmtId="181" fontId="4" fillId="0" borderId="0" xfId="4" applyNumberFormat="1" applyFont="1"/>
    <xf numFmtId="170" fontId="0" fillId="0" borderId="0" xfId="0" applyNumberFormat="1"/>
    <xf numFmtId="182" fontId="70" fillId="0" borderId="0" xfId="0" applyNumberFormat="1" applyFont="1" applyAlignment="1">
      <alignment horizontal="center"/>
    </xf>
    <xf numFmtId="0" fontId="71" fillId="0" borderId="0" xfId="0" applyFont="1" applyAlignment="1">
      <alignment horizontal="center"/>
    </xf>
    <xf numFmtId="166" fontId="70" fillId="0" borderId="0" xfId="0" applyNumberFormat="1" applyFont="1" applyAlignment="1">
      <alignment horizontal="center"/>
    </xf>
    <xf numFmtId="182" fontId="0" fillId="0" borderId="0" xfId="0" applyNumberFormat="1"/>
    <xf numFmtId="182" fontId="70" fillId="0" borderId="7" xfId="0" applyNumberFormat="1" applyFont="1" applyBorder="1" applyAlignment="1">
      <alignment horizontal="center"/>
    </xf>
    <xf numFmtId="182" fontId="10" fillId="0" borderId="0" xfId="0" applyNumberFormat="1" applyFont="1"/>
    <xf numFmtId="182" fontId="7" fillId="0" borderId="0" xfId="0" applyNumberFormat="1" applyFont="1"/>
    <xf numFmtId="182" fontId="19" fillId="0" borderId="0" xfId="0" applyNumberFormat="1" applyFont="1" applyAlignment="1">
      <alignment horizontal="center"/>
    </xf>
    <xf numFmtId="182" fontId="4" fillId="0" borderId="0" xfId="0" applyNumberFormat="1" applyFont="1"/>
    <xf numFmtId="0" fontId="10" fillId="0" borderId="0" xfId="0" applyFont="1" applyAlignment="1">
      <alignment vertical="justify"/>
    </xf>
    <xf numFmtId="0" fontId="71" fillId="0" borderId="0" xfId="4" applyFont="1" applyAlignment="1">
      <alignment horizontal="center"/>
    </xf>
    <xf numFmtId="182" fontId="10" fillId="0" borderId="0" xfId="4" applyNumberFormat="1"/>
    <xf numFmtId="165" fontId="35" fillId="0" borderId="0" xfId="4" applyNumberFormat="1" applyFont="1"/>
    <xf numFmtId="166" fontId="11" fillId="0" borderId="0" xfId="0" applyNumberFormat="1" applyFont="1"/>
    <xf numFmtId="182" fontId="19" fillId="0" borderId="0" xfId="0" applyNumberFormat="1" applyFont="1"/>
    <xf numFmtId="182" fontId="72" fillId="0" borderId="8" xfId="0" applyNumberFormat="1" applyFont="1" applyBorder="1" applyAlignment="1">
      <alignment horizontal="right"/>
    </xf>
    <xf numFmtId="182" fontId="69" fillId="0" borderId="0" xfId="0" applyNumberFormat="1" applyFont="1"/>
    <xf numFmtId="0" fontId="10" fillId="0" borderId="9" xfId="0" applyFont="1" applyBorder="1"/>
    <xf numFmtId="0" fontId="10" fillId="0" borderId="8" xfId="0" applyFont="1" applyBorder="1"/>
    <xf numFmtId="0" fontId="10" fillId="0" borderId="10" xfId="4" applyBorder="1"/>
    <xf numFmtId="0" fontId="10" fillId="0" borderId="11" xfId="4" applyBorder="1"/>
    <xf numFmtId="182" fontId="10" fillId="0" borderId="0" xfId="4" applyNumberFormat="1" applyAlignment="1">
      <alignment horizontal="left"/>
    </xf>
    <xf numFmtId="182" fontId="4" fillId="0" borderId="0" xfId="4" applyNumberFormat="1" applyFont="1" applyAlignment="1">
      <alignment horizontal="justify"/>
    </xf>
    <xf numFmtId="182" fontId="4" fillId="0" borderId="0" xfId="4" applyNumberFormat="1" applyFont="1"/>
    <xf numFmtId="167" fontId="0" fillId="0" borderId="0" xfId="9" applyNumberFormat="1" applyFont="1"/>
    <xf numFmtId="167" fontId="70" fillId="0" borderId="0" xfId="9" applyNumberFormat="1" applyFont="1" applyAlignment="1">
      <alignment horizontal="center"/>
    </xf>
    <xf numFmtId="167" fontId="11" fillId="0" borderId="0" xfId="9" applyNumberFormat="1" applyFont="1"/>
    <xf numFmtId="182" fontId="19" fillId="0" borderId="7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center"/>
    </xf>
    <xf numFmtId="0" fontId="29" fillId="0" borderId="0" xfId="0" applyFont="1" applyAlignment="1">
      <alignment horizontal="left"/>
    </xf>
    <xf numFmtId="0" fontId="10" fillId="0" borderId="1" xfId="0" applyFont="1" applyBorder="1"/>
    <xf numFmtId="0" fontId="10" fillId="0" borderId="2" xfId="0" applyFont="1" applyBorder="1"/>
    <xf numFmtId="0" fontId="12" fillId="0" borderId="0" xfId="4" applyFont="1"/>
    <xf numFmtId="182" fontId="10" fillId="0" borderId="0" xfId="4" applyNumberFormat="1" applyAlignment="1">
      <alignment horizontal="center"/>
    </xf>
    <xf numFmtId="182" fontId="3" fillId="0" borderId="0" xfId="4" applyNumberFormat="1" applyFont="1"/>
    <xf numFmtId="0" fontId="9" fillId="0" borderId="0" xfId="4" applyFont="1"/>
    <xf numFmtId="166" fontId="4" fillId="0" borderId="0" xfId="4" applyNumberFormat="1" applyFont="1"/>
    <xf numFmtId="0" fontId="73" fillId="0" borderId="0" xfId="4" quotePrefix="1" applyFont="1" applyAlignment="1">
      <alignment horizontal="left" vertical="center"/>
    </xf>
    <xf numFmtId="182" fontId="73" fillId="0" borderId="0" xfId="4" quotePrefix="1" applyNumberFormat="1" applyFont="1" applyAlignment="1">
      <alignment horizontal="left" vertical="center"/>
    </xf>
    <xf numFmtId="0" fontId="11" fillId="0" borderId="0" xfId="4" applyFont="1"/>
    <xf numFmtId="0" fontId="27" fillId="0" borderId="0" xfId="4" applyFont="1"/>
    <xf numFmtId="0" fontId="19" fillId="0" borderId="0" xfId="4" applyFont="1"/>
    <xf numFmtId="3" fontId="7" fillId="0" borderId="0" xfId="4" applyNumberFormat="1" applyFont="1"/>
    <xf numFmtId="0" fontId="29" fillId="0" borderId="0" xfId="4" applyFont="1"/>
    <xf numFmtId="3" fontId="19" fillId="0" borderId="0" xfId="4" applyNumberFormat="1" applyFont="1"/>
    <xf numFmtId="167" fontId="0" fillId="0" borderId="0" xfId="10" applyNumberFormat="1" applyFont="1"/>
    <xf numFmtId="3" fontId="10" fillId="0" borderId="12" xfId="4" applyNumberFormat="1" applyBorder="1"/>
    <xf numFmtId="0" fontId="10" fillId="0" borderId="8" xfId="4" applyBorder="1"/>
    <xf numFmtId="4" fontId="10" fillId="0" borderId="0" xfId="4" applyNumberFormat="1"/>
    <xf numFmtId="3" fontId="7" fillId="0" borderId="0" xfId="4" applyNumberFormat="1" applyFont="1" applyAlignment="1">
      <alignment horizontal="center"/>
    </xf>
    <xf numFmtId="165" fontId="7" fillId="0" borderId="0" xfId="4" applyNumberFormat="1" applyFont="1" applyAlignment="1">
      <alignment horizontal="center"/>
    </xf>
    <xf numFmtId="167" fontId="0" fillId="0" borderId="0" xfId="14" applyNumberFormat="1" applyFont="1"/>
    <xf numFmtId="10" fontId="0" fillId="0" borderId="0" xfId="10" applyNumberFormat="1" applyFont="1"/>
    <xf numFmtId="0" fontId="19" fillId="0" borderId="0" xfId="4" applyFont="1" applyAlignment="1">
      <alignment horizontal="left"/>
    </xf>
    <xf numFmtId="182" fontId="19" fillId="0" borderId="0" xfId="4" applyNumberFormat="1" applyFont="1" applyAlignment="1">
      <alignment horizontal="center"/>
    </xf>
    <xf numFmtId="4" fontId="19" fillId="0" borderId="0" xfId="4" applyNumberFormat="1" applyFont="1" applyAlignment="1">
      <alignment horizontal="center"/>
    </xf>
    <xf numFmtId="3" fontId="74" fillId="0" borderId="0" xfId="0" applyNumberFormat="1" applyFont="1"/>
    <xf numFmtId="182" fontId="7" fillId="0" borderId="0" xfId="4" applyNumberFormat="1" applyFont="1"/>
    <xf numFmtId="182" fontId="19" fillId="0" borderId="0" xfId="4" applyNumberFormat="1" applyFont="1"/>
    <xf numFmtId="0" fontId="41" fillId="0" borderId="0" xfId="0" applyFont="1"/>
    <xf numFmtId="0" fontId="75" fillId="0" borderId="0" xfId="0" applyFont="1"/>
    <xf numFmtId="0" fontId="75" fillId="0" borderId="0" xfId="0" applyFont="1" applyAlignment="1">
      <alignment vertical="center"/>
    </xf>
    <xf numFmtId="0" fontId="76" fillId="0" borderId="0" xfId="0" applyFont="1" applyAlignment="1">
      <alignment horizontal="center"/>
    </xf>
    <xf numFmtId="0" fontId="77" fillId="0" borderId="0" xfId="0" applyFont="1"/>
    <xf numFmtId="0" fontId="78" fillId="0" borderId="0" xfId="0" applyFont="1"/>
    <xf numFmtId="182" fontId="79" fillId="0" borderId="0" xfId="4" applyNumberFormat="1" applyFont="1" applyAlignment="1">
      <alignment horizontal="center"/>
    </xf>
    <xf numFmtId="0" fontId="41" fillId="0" borderId="7" xfId="4" applyFont="1" applyBorder="1" applyAlignment="1">
      <alignment horizontal="left"/>
    </xf>
    <xf numFmtId="0" fontId="41" fillId="0" borderId="7" xfId="4" applyFont="1" applyBorder="1" applyAlignment="1">
      <alignment horizontal="left" vertical="center"/>
    </xf>
    <xf numFmtId="0" fontId="41" fillId="0" borderId="0" xfId="4" applyFont="1" applyAlignment="1">
      <alignment horizontal="left"/>
    </xf>
    <xf numFmtId="182" fontId="80" fillId="0" borderId="0" xfId="4" applyNumberFormat="1" applyFont="1" applyAlignment="1">
      <alignment horizontal="center"/>
    </xf>
    <xf numFmtId="0" fontId="81" fillId="0" borderId="0" xfId="0" applyFont="1" applyAlignment="1">
      <alignment horizontal="center"/>
    </xf>
    <xf numFmtId="182" fontId="79" fillId="0" borderId="0" xfId="0" applyNumberFormat="1" applyFont="1" applyAlignment="1">
      <alignment horizontal="center"/>
    </xf>
    <xf numFmtId="0" fontId="41" fillId="0" borderId="7" xfId="0" applyFont="1" applyBorder="1" applyAlignment="1">
      <alignment horizontal="center"/>
    </xf>
    <xf numFmtId="167" fontId="41" fillId="0" borderId="13" xfId="0" applyNumberFormat="1" applyFont="1" applyBorder="1" applyAlignment="1">
      <alignment horizontal="center"/>
    </xf>
    <xf numFmtId="182" fontId="41" fillId="0" borderId="7" xfId="0" applyNumberFormat="1" applyFont="1" applyBorder="1" applyAlignment="1">
      <alignment horizontal="center"/>
    </xf>
    <xf numFmtId="0" fontId="41" fillId="0" borderId="14" xfId="0" applyFont="1" applyBorder="1" applyAlignment="1">
      <alignment horizontal="center"/>
    </xf>
    <xf numFmtId="0" fontId="41" fillId="0" borderId="0" xfId="0" applyFont="1" applyAlignment="1">
      <alignment horizontal="center"/>
    </xf>
    <xf numFmtId="182" fontId="41" fillId="0" borderId="0" xfId="0" applyNumberFormat="1" applyFont="1" applyAlignment="1">
      <alignment horizontal="center"/>
    </xf>
    <xf numFmtId="0" fontId="82" fillId="0" borderId="0" xfId="0" applyFont="1" applyAlignment="1">
      <alignment horizontal="center"/>
    </xf>
    <xf numFmtId="182" fontId="80" fillId="0" borderId="0" xfId="0" applyNumberFormat="1" applyFont="1" applyAlignment="1">
      <alignment horizontal="center"/>
    </xf>
    <xf numFmtId="167" fontId="41" fillId="0" borderId="0" xfId="9" applyNumberFormat="1" applyFont="1" applyAlignment="1">
      <alignment horizontal="center" vertical="center" wrapText="1"/>
    </xf>
    <xf numFmtId="166" fontId="44" fillId="0" borderId="0" xfId="0" applyNumberFormat="1" applyFont="1" applyAlignment="1">
      <alignment horizontal="center"/>
    </xf>
    <xf numFmtId="0" fontId="81" fillId="0" borderId="8" xfId="0" applyFont="1" applyBorder="1" applyAlignment="1">
      <alignment horizontal="center"/>
    </xf>
    <xf numFmtId="166" fontId="79" fillId="0" borderId="0" xfId="0" applyNumberFormat="1" applyFont="1" applyAlignment="1">
      <alignment horizontal="center"/>
    </xf>
    <xf numFmtId="166" fontId="41" fillId="0" borderId="14" xfId="0" applyNumberFormat="1" applyFont="1" applyBorder="1" applyAlignment="1">
      <alignment horizontal="center"/>
    </xf>
    <xf numFmtId="166" fontId="41" fillId="0" borderId="0" xfId="0" applyNumberFormat="1" applyFont="1" applyAlignment="1">
      <alignment horizontal="center"/>
    </xf>
    <xf numFmtId="0" fontId="46" fillId="0" borderId="0" xfId="0" applyFont="1"/>
    <xf numFmtId="185" fontId="79" fillId="0" borderId="15" xfId="0" applyNumberFormat="1" applyFont="1" applyBorder="1" applyAlignment="1">
      <alignment horizontal="center"/>
    </xf>
    <xf numFmtId="165" fontId="41" fillId="0" borderId="0" xfId="0" applyNumberFormat="1" applyFont="1"/>
    <xf numFmtId="0" fontId="48" fillId="0" borderId="0" xfId="0" applyFont="1"/>
    <xf numFmtId="0" fontId="41" fillId="0" borderId="16" xfId="0" applyFont="1" applyBorder="1" applyAlignment="1">
      <alignment horizontal="center"/>
    </xf>
    <xf numFmtId="185" fontId="41" fillId="0" borderId="14" xfId="0" applyNumberFormat="1" applyFont="1" applyBorder="1" applyAlignment="1">
      <alignment horizontal="center"/>
    </xf>
    <xf numFmtId="167" fontId="41" fillId="0" borderId="0" xfId="9" applyNumberFormat="1" applyFont="1" applyAlignment="1">
      <alignment horizontal="center"/>
    </xf>
    <xf numFmtId="0" fontId="50" fillId="0" borderId="0" xfId="0" applyFont="1"/>
    <xf numFmtId="0" fontId="41" fillId="0" borderId="7" xfId="0" applyFont="1" applyBorder="1" applyAlignment="1">
      <alignment horizontal="left"/>
    </xf>
    <xf numFmtId="0" fontId="81" fillId="0" borderId="0" xfId="0" applyFont="1" applyAlignment="1">
      <alignment horizontal="left"/>
    </xf>
    <xf numFmtId="0" fontId="41" fillId="0" borderId="14" xfId="0" applyFont="1" applyBorder="1" applyAlignment="1">
      <alignment horizontal="left"/>
    </xf>
    <xf numFmtId="0" fontId="81" fillId="0" borderId="0" xfId="4" applyFont="1" applyAlignment="1">
      <alignment horizontal="left"/>
    </xf>
    <xf numFmtId="182" fontId="41" fillId="0" borderId="7" xfId="4" applyNumberFormat="1" applyFont="1" applyBorder="1" applyAlignment="1">
      <alignment horizontal="center"/>
    </xf>
    <xf numFmtId="0" fontId="41" fillId="0" borderId="14" xfId="4" applyFont="1" applyBorder="1" applyAlignment="1">
      <alignment horizontal="left"/>
    </xf>
    <xf numFmtId="0" fontId="82" fillId="0" borderId="0" xfId="4" applyFont="1" applyAlignment="1">
      <alignment horizontal="left"/>
    </xf>
    <xf numFmtId="167" fontId="79" fillId="0" borderId="0" xfId="0" applyNumberFormat="1" applyFont="1" applyAlignment="1">
      <alignment horizontal="center"/>
    </xf>
    <xf numFmtId="167" fontId="41" fillId="0" borderId="7" xfId="0" applyNumberFormat="1" applyFont="1" applyBorder="1" applyAlignment="1">
      <alignment horizontal="center"/>
    </xf>
    <xf numFmtId="167" fontId="79" fillId="0" borderId="14" xfId="0" applyNumberFormat="1" applyFont="1" applyBorder="1" applyAlignment="1">
      <alignment horizontal="center"/>
    </xf>
    <xf numFmtId="166" fontId="80" fillId="0" borderId="14" xfId="0" applyNumberFormat="1" applyFont="1" applyBorder="1" applyAlignment="1">
      <alignment horizontal="center"/>
    </xf>
    <xf numFmtId="167" fontId="80" fillId="0" borderId="14" xfId="0" applyNumberFormat="1" applyFont="1" applyBorder="1" applyAlignment="1">
      <alignment horizontal="center"/>
    </xf>
    <xf numFmtId="166" fontId="80" fillId="0" borderId="0" xfId="0" applyNumberFormat="1" applyFont="1" applyAlignment="1">
      <alignment horizontal="center"/>
    </xf>
    <xf numFmtId="166" fontId="41" fillId="0" borderId="7" xfId="0" applyNumberFormat="1" applyFont="1" applyBorder="1" applyAlignment="1">
      <alignment horizontal="center"/>
    </xf>
    <xf numFmtId="4" fontId="41" fillId="0" borderId="7" xfId="4" applyNumberFormat="1" applyFont="1" applyBorder="1" applyAlignment="1">
      <alignment horizontal="center"/>
    </xf>
    <xf numFmtId="182" fontId="41" fillId="0" borderId="14" xfId="4" applyNumberFormat="1" applyFont="1" applyBorder="1" applyAlignment="1">
      <alignment horizontal="center"/>
    </xf>
    <xf numFmtId="0" fontId="54" fillId="0" borderId="0" xfId="1" quotePrefix="1" applyFont="1" applyAlignment="1" applyProtection="1"/>
    <xf numFmtId="0" fontId="51" fillId="0" borderId="0" xfId="0" applyFont="1" applyAlignment="1">
      <alignment horizontal="left"/>
    </xf>
    <xf numFmtId="0" fontId="41" fillId="0" borderId="7" xfId="0" applyFont="1" applyBorder="1" applyAlignment="1">
      <alignment horizontal="left" vertical="center" wrapText="1"/>
    </xf>
    <xf numFmtId="167" fontId="41" fillId="0" borderId="14" xfId="0" applyNumberFormat="1" applyFont="1" applyBorder="1" applyAlignment="1">
      <alignment horizontal="center"/>
    </xf>
    <xf numFmtId="0" fontId="83" fillId="0" borderId="16" xfId="0" applyFont="1" applyBorder="1"/>
    <xf numFmtId="0" fontId="44" fillId="0" borderId="0" xfId="0" applyFont="1" applyAlignment="1">
      <alignment horizontal="left"/>
    </xf>
    <xf numFmtId="170" fontId="44" fillId="0" borderId="0" xfId="0" quotePrefix="1" applyNumberFormat="1" applyFont="1" applyAlignment="1">
      <alignment horizontal="left" vertical="top" wrapText="1"/>
    </xf>
    <xf numFmtId="170" fontId="44" fillId="0" borderId="0" xfId="0" applyNumberFormat="1" applyFont="1" applyAlignment="1">
      <alignment horizontal="right" vertical="top" wrapText="1"/>
    </xf>
    <xf numFmtId="182" fontId="41" fillId="0" borderId="0" xfId="0" applyNumberFormat="1" applyFont="1"/>
    <xf numFmtId="0" fontId="41" fillId="0" borderId="0" xfId="0" applyFont="1" applyAlignment="1">
      <alignment horizontal="left"/>
    </xf>
    <xf numFmtId="0" fontId="44" fillId="0" borderId="0" xfId="0" quotePrefix="1" applyFont="1" applyAlignment="1">
      <alignment horizontal="left"/>
    </xf>
    <xf numFmtId="165" fontId="44" fillId="0" borderId="0" xfId="0" applyNumberFormat="1" applyFont="1" applyAlignment="1">
      <alignment horizontal="center"/>
    </xf>
    <xf numFmtId="165" fontId="44" fillId="0" borderId="0" xfId="0" applyNumberFormat="1" applyFont="1" applyAlignment="1">
      <alignment horizontal="center" vertical="center"/>
    </xf>
    <xf numFmtId="3" fontId="44" fillId="0" borderId="0" xfId="0" applyNumberFormat="1" applyFont="1" applyAlignment="1">
      <alignment horizontal="right" vertical="top" wrapText="1"/>
    </xf>
    <xf numFmtId="170" fontId="44" fillId="0" borderId="0" xfId="0" applyNumberFormat="1" applyFont="1"/>
    <xf numFmtId="182" fontId="41" fillId="0" borderId="17" xfId="0" applyNumberFormat="1" applyFont="1" applyBorder="1" applyAlignment="1">
      <alignment horizontal="center"/>
    </xf>
    <xf numFmtId="168" fontId="44" fillId="0" borderId="0" xfId="0" quotePrefix="1" applyNumberFormat="1" applyFont="1" applyAlignment="1">
      <alignment horizontal="left"/>
    </xf>
    <xf numFmtId="168" fontId="44" fillId="0" borderId="0" xfId="0" applyNumberFormat="1" applyFont="1" applyAlignment="1">
      <alignment horizontal="right"/>
    </xf>
    <xf numFmtId="168" fontId="44" fillId="0" borderId="0" xfId="0" applyNumberFormat="1" applyFont="1" applyAlignment="1">
      <alignment horizontal="center"/>
    </xf>
    <xf numFmtId="0" fontId="44" fillId="0" borderId="0" xfId="0" applyFont="1"/>
    <xf numFmtId="175" fontId="44" fillId="0" borderId="0" xfId="0" applyNumberFormat="1" applyFont="1" applyAlignment="1">
      <alignment horizontal="center"/>
    </xf>
    <xf numFmtId="0" fontId="82" fillId="3" borderId="3" xfId="0" applyFont="1" applyFill="1" applyBorder="1" applyAlignment="1">
      <alignment horizontal="center" vertical="center" wrapText="1"/>
    </xf>
    <xf numFmtId="0" fontId="84" fillId="3" borderId="7" xfId="0" applyFont="1" applyFill="1" applyBorder="1" applyAlignment="1">
      <alignment horizontal="center" vertical="center" wrapText="1"/>
    </xf>
    <xf numFmtId="0" fontId="84" fillId="3" borderId="14" xfId="4" applyFont="1" applyFill="1" applyBorder="1" applyAlignment="1">
      <alignment horizontal="center" vertical="center" wrapText="1"/>
    </xf>
    <xf numFmtId="0" fontId="84" fillId="3" borderId="7" xfId="4" applyFont="1" applyFill="1" applyBorder="1" applyAlignment="1">
      <alignment horizontal="center" vertical="center" wrapText="1"/>
    </xf>
    <xf numFmtId="0" fontId="82" fillId="3" borderId="17" xfId="4" applyFont="1" applyFill="1" applyBorder="1" applyAlignment="1">
      <alignment horizontal="center"/>
    </xf>
    <xf numFmtId="0" fontId="82" fillId="3" borderId="7" xfId="0" applyFont="1" applyFill="1" applyBorder="1" applyAlignment="1">
      <alignment horizontal="center" vertical="center" wrapText="1"/>
    </xf>
    <xf numFmtId="0" fontId="82" fillId="3" borderId="7" xfId="0" applyFont="1" applyFill="1" applyBorder="1" applyAlignment="1">
      <alignment horizontal="center"/>
    </xf>
    <xf numFmtId="0" fontId="82" fillId="3" borderId="7" xfId="0" applyFont="1" applyFill="1" applyBorder="1" applyAlignment="1">
      <alignment horizontal="center" vertical="center"/>
    </xf>
    <xf numFmtId="0" fontId="82" fillId="3" borderId="14" xfId="0" applyFont="1" applyFill="1" applyBorder="1" applyAlignment="1">
      <alignment horizontal="center" vertical="center" wrapText="1"/>
    </xf>
    <xf numFmtId="175" fontId="41" fillId="0" borderId="0" xfId="0" applyNumberFormat="1" applyFont="1" applyAlignment="1">
      <alignment horizontal="center"/>
    </xf>
    <xf numFmtId="0" fontId="82" fillId="3" borderId="17" xfId="0" applyFont="1" applyFill="1" applyBorder="1" applyAlignment="1">
      <alignment horizontal="center" vertical="center" wrapText="1"/>
    </xf>
    <xf numFmtId="167" fontId="41" fillId="0" borderId="7" xfId="9" applyNumberFormat="1" applyFont="1" applyBorder="1" applyAlignment="1">
      <alignment horizontal="center"/>
    </xf>
    <xf numFmtId="185" fontId="41" fillId="0" borderId="7" xfId="0" applyNumberFormat="1" applyFont="1" applyBorder="1" applyAlignment="1">
      <alignment horizontal="right"/>
    </xf>
    <xf numFmtId="185" fontId="41" fillId="0" borderId="21" xfId="0" applyNumberFormat="1" applyFont="1" applyBorder="1" applyAlignment="1">
      <alignment horizontal="right"/>
    </xf>
    <xf numFmtId="185" fontId="41" fillId="0" borderId="20" xfId="0" applyNumberFormat="1" applyFont="1" applyBorder="1" applyAlignment="1">
      <alignment horizontal="right"/>
    </xf>
    <xf numFmtId="185" fontId="41" fillId="0" borderId="17" xfId="0" applyNumberFormat="1" applyFont="1" applyBorder="1" applyAlignment="1">
      <alignment horizontal="right"/>
    </xf>
    <xf numFmtId="0" fontId="44" fillId="0" borderId="1" xfId="0" applyFont="1" applyBorder="1"/>
    <xf numFmtId="3" fontId="44" fillId="0" borderId="0" xfId="0" applyNumberFormat="1" applyFont="1"/>
    <xf numFmtId="0" fontId="84" fillId="3" borderId="20" xfId="0" applyFont="1" applyFill="1" applyBorder="1" applyAlignment="1">
      <alignment horizontal="center" vertical="center" wrapText="1"/>
    </xf>
    <xf numFmtId="0" fontId="41" fillId="0" borderId="15" xfId="4" applyFont="1" applyBorder="1"/>
    <xf numFmtId="0" fontId="41" fillId="0" borderId="0" xfId="4" applyFont="1"/>
    <xf numFmtId="0" fontId="41" fillId="0" borderId="22" xfId="4" applyFont="1" applyBorder="1"/>
    <xf numFmtId="4" fontId="41" fillId="0" borderId="7" xfId="0" applyNumberFormat="1" applyFont="1" applyBorder="1" applyAlignment="1">
      <alignment horizontal="center"/>
    </xf>
    <xf numFmtId="185" fontId="41" fillId="0" borderId="23" xfId="0" applyNumberFormat="1" applyFont="1" applyBorder="1" applyAlignment="1">
      <alignment horizontal="right"/>
    </xf>
    <xf numFmtId="0" fontId="41" fillId="0" borderId="24" xfId="0" applyFont="1" applyBorder="1" applyAlignment="1">
      <alignment horizontal="center"/>
    </xf>
    <xf numFmtId="185" fontId="41" fillId="0" borderId="14" xfId="0" applyNumberFormat="1" applyFont="1" applyBorder="1" applyAlignment="1">
      <alignment horizontal="right"/>
    </xf>
    <xf numFmtId="0" fontId="41" fillId="0" borderId="15" xfId="0" applyFont="1" applyBorder="1" applyAlignment="1">
      <alignment horizontal="center"/>
    </xf>
    <xf numFmtId="185" fontId="41" fillId="0" borderId="0" xfId="0" applyNumberFormat="1" applyFont="1" applyAlignment="1">
      <alignment horizontal="right"/>
    </xf>
    <xf numFmtId="4" fontId="41" fillId="0" borderId="0" xfId="0" applyNumberFormat="1" applyFont="1" applyAlignment="1">
      <alignment horizontal="center"/>
    </xf>
    <xf numFmtId="0" fontId="82" fillId="3" borderId="20" xfId="0" applyFont="1" applyFill="1" applyBorder="1" applyAlignment="1">
      <alignment horizontal="center" vertical="center" wrapText="1"/>
    </xf>
    <xf numFmtId="168" fontId="44" fillId="0" borderId="0" xfId="4" applyNumberFormat="1" applyFont="1" applyAlignment="1">
      <alignment horizontal="center" vertical="center" wrapText="1"/>
    </xf>
    <xf numFmtId="182" fontId="41" fillId="0" borderId="0" xfId="4" applyNumberFormat="1" applyFont="1"/>
    <xf numFmtId="0" fontId="81" fillId="0" borderId="0" xfId="4" applyFont="1" applyAlignment="1">
      <alignment horizontal="center"/>
    </xf>
    <xf numFmtId="181" fontId="44" fillId="0" borderId="0" xfId="4" applyNumberFormat="1" applyFont="1" applyAlignment="1">
      <alignment horizontal="center" vertical="center" wrapText="1"/>
    </xf>
    <xf numFmtId="0" fontId="41" fillId="0" borderId="7" xfId="4" applyFont="1" applyBorder="1" applyAlignment="1">
      <alignment horizontal="center"/>
    </xf>
    <xf numFmtId="0" fontId="41" fillId="0" borderId="14" xfId="4" applyFont="1" applyBorder="1" applyAlignment="1">
      <alignment horizontal="center"/>
    </xf>
    <xf numFmtId="165" fontId="57" fillId="0" borderId="0" xfId="4" applyNumberFormat="1" applyFont="1"/>
    <xf numFmtId="0" fontId="44" fillId="0" borderId="0" xfId="4" applyFont="1" applyAlignment="1">
      <alignment horizontal="center"/>
    </xf>
    <xf numFmtId="170" fontId="44" fillId="0" borderId="0" xfId="4" applyNumberFormat="1" applyFont="1" applyAlignment="1">
      <alignment horizontal="center" vertical="center" wrapText="1"/>
    </xf>
    <xf numFmtId="170" fontId="44" fillId="0" borderId="0" xfId="11" applyNumberFormat="1" applyFont="1" applyAlignment="1">
      <alignment horizontal="center" vertical="center" wrapText="1"/>
    </xf>
    <xf numFmtId="0" fontId="84" fillId="3" borderId="25" xfId="4" applyFont="1" applyFill="1" applyBorder="1" applyAlignment="1">
      <alignment horizontal="center" vertical="center" wrapText="1"/>
    </xf>
    <xf numFmtId="0" fontId="51" fillId="0" borderId="14" xfId="0" applyFont="1" applyBorder="1" applyAlignment="1">
      <alignment horizontal="center"/>
    </xf>
    <xf numFmtId="178" fontId="44" fillId="0" borderId="0" xfId="4" applyNumberFormat="1" applyFont="1" applyAlignment="1">
      <alignment horizontal="center" vertical="center" wrapText="1"/>
    </xf>
    <xf numFmtId="0" fontId="44" fillId="0" borderId="0" xfId="4" applyFont="1" applyAlignment="1">
      <alignment horizontal="center" vertical="center" wrapText="1"/>
    </xf>
    <xf numFmtId="169" fontId="44" fillId="0" borderId="0" xfId="4" applyNumberFormat="1" applyFont="1" applyAlignment="1">
      <alignment horizontal="center" vertical="center" wrapText="1"/>
    </xf>
    <xf numFmtId="3" fontId="44" fillId="0" borderId="0" xfId="0" applyNumberFormat="1" applyFont="1" applyAlignment="1">
      <alignment horizontal="center"/>
    </xf>
    <xf numFmtId="0" fontId="41" fillId="0" borderId="14" xfId="0" applyFont="1" applyBorder="1"/>
    <xf numFmtId="0" fontId="81" fillId="0" borderId="0" xfId="0" applyFont="1"/>
    <xf numFmtId="0" fontId="44" fillId="0" borderId="4" xfId="0" applyFont="1" applyBorder="1"/>
    <xf numFmtId="3" fontId="44" fillId="2" borderId="4" xfId="0" applyNumberFormat="1" applyFont="1" applyFill="1" applyBorder="1" applyAlignment="1">
      <alignment horizontal="center"/>
    </xf>
    <xf numFmtId="3" fontId="44" fillId="2" borderId="4" xfId="0" applyNumberFormat="1" applyFont="1" applyFill="1" applyBorder="1" applyAlignment="1">
      <alignment horizontal="right"/>
    </xf>
    <xf numFmtId="3" fontId="44" fillId="2" borderId="0" xfId="0" applyNumberFormat="1" applyFont="1" applyFill="1" applyAlignment="1">
      <alignment horizontal="center"/>
    </xf>
    <xf numFmtId="9" fontId="44" fillId="0" borderId="7" xfId="9" applyFont="1" applyBorder="1" applyAlignment="1">
      <alignment horizontal="center"/>
    </xf>
    <xf numFmtId="0" fontId="84" fillId="3" borderId="25" xfId="0" applyFont="1" applyFill="1" applyBorder="1" applyAlignment="1">
      <alignment horizontal="center" vertical="center" wrapText="1"/>
    </xf>
    <xf numFmtId="10" fontId="41" fillId="0" borderId="7" xfId="9" applyNumberFormat="1" applyFont="1" applyBorder="1" applyAlignment="1">
      <alignment horizontal="center"/>
    </xf>
    <xf numFmtId="165" fontId="58" fillId="0" borderId="0" xfId="4" applyNumberFormat="1" applyFont="1" applyAlignment="1">
      <alignment horizontal="center"/>
    </xf>
    <xf numFmtId="0" fontId="82" fillId="3" borderId="7" xfId="4" applyFont="1" applyFill="1" applyBorder="1" applyAlignment="1">
      <alignment horizontal="center"/>
    </xf>
    <xf numFmtId="0" fontId="44" fillId="0" borderId="1" xfId="4" applyFont="1" applyBorder="1" applyAlignment="1">
      <alignment horizontal="left"/>
    </xf>
    <xf numFmtId="3" fontId="44" fillId="0" borderId="1" xfId="4" applyNumberFormat="1" applyFont="1" applyBorder="1" applyAlignment="1">
      <alignment horizontal="right"/>
    </xf>
    <xf numFmtId="165" fontId="44" fillId="0" borderId="1" xfId="4" applyNumberFormat="1" applyFont="1" applyBorder="1" applyAlignment="1">
      <alignment horizontal="right"/>
    </xf>
    <xf numFmtId="0" fontId="84" fillId="3" borderId="20" xfId="4" applyFont="1" applyFill="1" applyBorder="1" applyAlignment="1">
      <alignment horizontal="center" vertical="center" wrapText="1"/>
    </xf>
    <xf numFmtId="3" fontId="44" fillId="0" borderId="0" xfId="4" applyNumberFormat="1" applyFont="1" applyAlignment="1">
      <alignment horizontal="center" vertical="center"/>
    </xf>
    <xf numFmtId="9" fontId="44" fillId="0" borderId="0" xfId="14" applyFont="1" applyAlignment="1">
      <alignment vertical="center"/>
    </xf>
    <xf numFmtId="0" fontId="0" fillId="0" borderId="26" xfId="0" applyBorder="1"/>
    <xf numFmtId="0" fontId="0" fillId="0" borderId="8" xfId="0" applyBorder="1"/>
    <xf numFmtId="1" fontId="55" fillId="4" borderId="0" xfId="6" applyNumberFormat="1" applyFont="1" applyFill="1" applyAlignment="1">
      <alignment horizontal="center"/>
    </xf>
    <xf numFmtId="2" fontId="55" fillId="4" borderId="0" xfId="6" applyNumberFormat="1" applyFont="1" applyFill="1" applyAlignment="1">
      <alignment horizontal="center"/>
    </xf>
    <xf numFmtId="0" fontId="41" fillId="4" borderId="0" xfId="6" applyFont="1" applyFill="1"/>
    <xf numFmtId="0" fontId="55" fillId="4" borderId="11" xfId="8" applyFont="1" applyFill="1" applyBorder="1" applyAlignment="1">
      <alignment vertical="center" wrapText="1"/>
    </xf>
    <xf numFmtId="165" fontId="55" fillId="4" borderId="0" xfId="6" applyNumberFormat="1" applyFont="1" applyFill="1" applyAlignment="1">
      <alignment horizontal="center" vertical="center"/>
    </xf>
    <xf numFmtId="165" fontId="55" fillId="4" borderId="11" xfId="6" applyNumberFormat="1" applyFont="1" applyFill="1" applyBorder="1" applyAlignment="1">
      <alignment horizontal="center" vertical="center"/>
    </xf>
    <xf numFmtId="165" fontId="41" fillId="4" borderId="0" xfId="5" applyNumberFormat="1" applyFont="1" applyFill="1" applyAlignment="1">
      <alignment horizontal="center" vertical="center"/>
    </xf>
    <xf numFmtId="0" fontId="55" fillId="4" borderId="0" xfId="8" applyFont="1" applyFill="1" applyAlignment="1">
      <alignment vertical="center" wrapText="1"/>
    </xf>
    <xf numFmtId="165" fontId="59" fillId="4" borderId="0" xfId="6" applyNumberFormat="1" applyFont="1" applyFill="1" applyAlignment="1">
      <alignment horizontal="center" vertical="center"/>
    </xf>
    <xf numFmtId="0" fontId="85" fillId="4" borderId="0" xfId="6" applyFont="1" applyFill="1" applyAlignment="1">
      <alignment horizontal="left" vertical="center"/>
    </xf>
    <xf numFmtId="165" fontId="85" fillId="4" borderId="0" xfId="4" applyNumberFormat="1" applyFont="1" applyFill="1" applyAlignment="1">
      <alignment horizontal="center" vertical="center" wrapText="1"/>
    </xf>
    <xf numFmtId="165" fontId="55" fillId="4" borderId="9" xfId="6" applyNumberFormat="1" applyFont="1" applyFill="1" applyBorder="1" applyAlignment="1">
      <alignment horizontal="center" vertical="center"/>
    </xf>
    <xf numFmtId="165" fontId="85" fillId="4" borderId="0" xfId="4" applyNumberFormat="1" applyFont="1" applyFill="1" applyAlignment="1">
      <alignment horizontal="center" vertical="center"/>
    </xf>
    <xf numFmtId="165" fontId="85" fillId="4" borderId="0" xfId="4" applyNumberFormat="1" applyFont="1" applyFill="1" applyAlignment="1">
      <alignment horizontal="center"/>
    </xf>
    <xf numFmtId="0" fontId="82" fillId="3" borderId="0" xfId="6" applyFont="1" applyFill="1" applyAlignment="1">
      <alignment horizontal="center" vertical="center"/>
    </xf>
    <xf numFmtId="0" fontId="82" fillId="3" borderId="27" xfId="6" applyFont="1" applyFill="1" applyBorder="1" applyAlignment="1">
      <alignment horizontal="center" vertical="center"/>
    </xf>
    <xf numFmtId="0" fontId="0" fillId="0" borderId="27" xfId="0" applyBorder="1"/>
    <xf numFmtId="3" fontId="44" fillId="0" borderId="0" xfId="4" applyNumberFormat="1" applyFont="1" applyAlignment="1">
      <alignment horizontal="right"/>
    </xf>
    <xf numFmtId="0" fontId="84" fillId="3" borderId="0" xfId="4" applyFont="1" applyFill="1" applyAlignment="1">
      <alignment horizontal="center" vertical="center" wrapText="1"/>
    </xf>
    <xf numFmtId="0" fontId="84" fillId="3" borderId="16" xfId="4" applyFont="1" applyFill="1" applyBorder="1" applyAlignment="1">
      <alignment horizontal="center" vertical="center" wrapText="1"/>
    </xf>
    <xf numFmtId="165" fontId="41" fillId="0" borderId="7" xfId="4" applyNumberFormat="1" applyFont="1" applyBorder="1" applyAlignment="1">
      <alignment horizontal="center"/>
    </xf>
    <xf numFmtId="0" fontId="0" fillId="0" borderId="11" xfId="0" applyBorder="1"/>
    <xf numFmtId="184" fontId="85" fillId="4" borderId="0" xfId="4" applyNumberFormat="1" applyFont="1" applyFill="1" applyAlignment="1">
      <alignment horizontal="right" indent="1"/>
    </xf>
    <xf numFmtId="0" fontId="46" fillId="4" borderId="0" xfId="6" applyFont="1" applyFill="1" applyAlignment="1">
      <alignment horizontal="left" vertical="center"/>
    </xf>
    <xf numFmtId="0" fontId="82" fillId="3" borderId="28" xfId="6" applyFont="1" applyFill="1" applyBorder="1" applyAlignment="1">
      <alignment horizontal="center" vertical="center"/>
    </xf>
    <xf numFmtId="0" fontId="82" fillId="3" borderId="29" xfId="6" applyFont="1" applyFill="1" applyBorder="1" applyAlignment="1">
      <alignment horizontal="center" vertical="center"/>
    </xf>
    <xf numFmtId="0" fontId="41" fillId="4" borderId="0" xfId="8" applyFont="1" applyFill="1" applyAlignment="1">
      <alignment vertical="center" wrapText="1"/>
    </xf>
    <xf numFmtId="0" fontId="41" fillId="4" borderId="0" xfId="6" applyFont="1" applyFill="1" applyAlignment="1">
      <alignment horizontal="left" vertical="center"/>
    </xf>
    <xf numFmtId="0" fontId="60" fillId="4" borderId="0" xfId="8" applyFont="1" applyFill="1" applyAlignment="1">
      <alignment vertical="center" wrapText="1"/>
    </xf>
    <xf numFmtId="182" fontId="72" fillId="0" borderId="0" xfId="0" applyNumberFormat="1" applyFont="1" applyAlignment="1">
      <alignment horizontal="right"/>
    </xf>
    <xf numFmtId="1" fontId="10" fillId="0" borderId="0" xfId="4" applyNumberFormat="1"/>
    <xf numFmtId="183" fontId="4" fillId="0" borderId="0" xfId="0" applyNumberFormat="1" applyFont="1"/>
    <xf numFmtId="0" fontId="84" fillId="3" borderId="36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70" fontId="10" fillId="0" borderId="26" xfId="0" applyNumberFormat="1" applyFont="1" applyBorder="1" applyAlignment="1"/>
    <xf numFmtId="3" fontId="80" fillId="0" borderId="7" xfId="4" applyNumberFormat="1" applyFont="1" applyBorder="1" applyAlignment="1">
      <alignment horizontal="center"/>
    </xf>
    <xf numFmtId="3" fontId="80" fillId="0" borderId="0" xfId="4" applyNumberFormat="1" applyFont="1" applyAlignment="1">
      <alignment horizontal="center"/>
    </xf>
    <xf numFmtId="3" fontId="41" fillId="0" borderId="13" xfId="0" applyNumberFormat="1" applyFont="1" applyBorder="1" applyAlignment="1">
      <alignment horizontal="center"/>
    </xf>
    <xf numFmtId="3" fontId="41" fillId="0" borderId="0" xfId="0" applyNumberFormat="1" applyFont="1" applyAlignment="1">
      <alignment horizontal="center"/>
    </xf>
    <xf numFmtId="3" fontId="41" fillId="0" borderId="7" xfId="0" applyNumberFormat="1" applyFont="1" applyBorder="1" applyAlignment="1">
      <alignment horizontal="center"/>
    </xf>
    <xf numFmtId="3" fontId="80" fillId="0" borderId="7" xfId="0" applyNumberFormat="1" applyFont="1" applyBorder="1" applyAlignment="1">
      <alignment horizontal="center"/>
    </xf>
    <xf numFmtId="3" fontId="80" fillId="0" borderId="14" xfId="0" applyNumberFormat="1" applyFont="1" applyBorder="1" applyAlignment="1">
      <alignment horizontal="center"/>
    </xf>
    <xf numFmtId="3" fontId="41" fillId="0" borderId="0" xfId="4" applyNumberFormat="1" applyFont="1" applyAlignment="1">
      <alignment horizontal="center"/>
    </xf>
    <xf numFmtId="3" fontId="41" fillId="0" borderId="7" xfId="4" applyNumberFormat="1" applyFont="1" applyBorder="1" applyAlignment="1">
      <alignment horizontal="center"/>
    </xf>
    <xf numFmtId="3" fontId="41" fillId="0" borderId="0" xfId="0" applyNumberFormat="1" applyFont="1"/>
    <xf numFmtId="3" fontId="41" fillId="0" borderId="14" xfId="0" applyNumberFormat="1" applyFont="1" applyBorder="1" applyAlignment="1">
      <alignment horizontal="center"/>
    </xf>
    <xf numFmtId="3" fontId="41" fillId="0" borderId="18" xfId="0" applyNumberFormat="1" applyFont="1" applyBorder="1" applyAlignment="1">
      <alignment horizontal="center"/>
    </xf>
    <xf numFmtId="3" fontId="41" fillId="0" borderId="17" xfId="0" applyNumberFormat="1" applyFont="1" applyBorder="1" applyAlignment="1">
      <alignment horizontal="center"/>
    </xf>
    <xf numFmtId="3" fontId="41" fillId="0" borderId="19" xfId="0" applyNumberFormat="1" applyFont="1" applyBorder="1" applyAlignment="1">
      <alignment horizontal="center"/>
    </xf>
    <xf numFmtId="3" fontId="41" fillId="0" borderId="7" xfId="0" applyNumberFormat="1" applyFont="1" applyBorder="1" applyAlignment="1">
      <alignment horizontal="center" vertical="center"/>
    </xf>
    <xf numFmtId="3" fontId="41" fillId="0" borderId="16" xfId="0" applyNumberFormat="1" applyFont="1" applyBorder="1" applyAlignment="1">
      <alignment horizontal="center"/>
    </xf>
    <xf numFmtId="3" fontId="41" fillId="0" borderId="20" xfId="0" applyNumberFormat="1" applyFont="1" applyBorder="1" applyAlignment="1">
      <alignment horizontal="center"/>
    </xf>
    <xf numFmtId="3" fontId="41" fillId="4" borderId="0" xfId="6" applyNumberFormat="1" applyFont="1" applyFill="1" applyAlignment="1">
      <alignment horizontal="center" vertical="center"/>
    </xf>
    <xf numFmtId="3" fontId="59" fillId="4" borderId="30" xfId="6" applyNumberFormat="1" applyFont="1" applyFill="1" applyBorder="1" applyAlignment="1">
      <alignment horizontal="center"/>
    </xf>
    <xf numFmtId="3" fontId="59" fillId="4" borderId="0" xfId="6" applyNumberFormat="1" applyFont="1" applyFill="1" applyAlignment="1">
      <alignment horizontal="center"/>
    </xf>
    <xf numFmtId="3" fontId="85" fillId="4" borderId="0" xfId="4" applyNumberFormat="1" applyFont="1" applyFill="1" applyAlignment="1">
      <alignment horizontal="right" indent="1"/>
    </xf>
    <xf numFmtId="3" fontId="41" fillId="4" borderId="0" xfId="6" applyNumberFormat="1" applyFont="1" applyFill="1"/>
    <xf numFmtId="3" fontId="41" fillId="4" borderId="0" xfId="6" applyNumberFormat="1" applyFont="1" applyFill="1" applyAlignment="1">
      <alignment horizontal="center"/>
    </xf>
    <xf numFmtId="3" fontId="41" fillId="4" borderId="0" xfId="5" applyNumberFormat="1" applyFont="1" applyFill="1" applyAlignment="1">
      <alignment vertical="center"/>
    </xf>
    <xf numFmtId="3" fontId="85" fillId="4" borderId="0" xfId="4" applyNumberFormat="1" applyFont="1" applyFill="1" applyAlignment="1">
      <alignment horizontal="right" vertical="center" wrapText="1" indent="1"/>
    </xf>
    <xf numFmtId="0" fontId="11" fillId="0" borderId="0" xfId="0" applyFont="1" applyAlignment="1">
      <alignment horizontal="center"/>
    </xf>
    <xf numFmtId="2" fontId="10" fillId="0" borderId="0" xfId="4" applyNumberFormat="1"/>
    <xf numFmtId="0" fontId="12" fillId="0" borderId="0" xfId="0" applyFont="1" applyAlignment="1">
      <alignment horizontal="center"/>
    </xf>
    <xf numFmtId="0" fontId="86" fillId="0" borderId="0" xfId="1" applyFont="1" applyAlignment="1" applyProtection="1">
      <alignment horizontal="left"/>
    </xf>
    <xf numFmtId="0" fontId="87" fillId="0" borderId="0" xfId="0" applyFont="1" applyAlignment="1">
      <alignment horizontal="center"/>
    </xf>
    <xf numFmtId="0" fontId="88" fillId="0" borderId="0" xfId="0" applyFont="1" applyAlignment="1">
      <alignment horizontal="center" vertical="center"/>
    </xf>
    <xf numFmtId="0" fontId="89" fillId="0" borderId="0" xfId="0" applyFont="1" applyAlignment="1">
      <alignment horizontal="center"/>
    </xf>
    <xf numFmtId="0" fontId="90" fillId="0" borderId="31" xfId="0" applyFont="1" applyBorder="1" applyAlignment="1">
      <alignment horizontal="justify" vertical="center" wrapText="1"/>
    </xf>
    <xf numFmtId="0" fontId="90" fillId="0" borderId="32" xfId="0" applyFont="1" applyBorder="1" applyAlignment="1">
      <alignment horizontal="justify" vertical="center" wrapText="1"/>
    </xf>
    <xf numFmtId="0" fontId="90" fillId="0" borderId="33" xfId="0" applyFont="1" applyBorder="1" applyAlignment="1">
      <alignment horizontal="justify" vertical="center" wrapText="1"/>
    </xf>
    <xf numFmtId="0" fontId="91" fillId="5" borderId="34" xfId="1" applyFont="1" applyFill="1" applyBorder="1" applyAlignment="1" applyProtection="1">
      <alignment horizontal="center" vertical="center"/>
    </xf>
    <xf numFmtId="0" fontId="91" fillId="5" borderId="3" xfId="1" applyFont="1" applyFill="1" applyBorder="1" applyAlignment="1" applyProtection="1">
      <alignment horizontal="center" vertical="center"/>
    </xf>
    <xf numFmtId="0" fontId="91" fillId="5" borderId="5" xfId="1" applyFont="1" applyFill="1" applyBorder="1" applyAlignment="1" applyProtection="1">
      <alignment horizontal="center" vertical="center"/>
    </xf>
    <xf numFmtId="0" fontId="92" fillId="0" borderId="0" xfId="1" applyFont="1" applyAlignment="1" applyProtection="1"/>
    <xf numFmtId="0" fontId="92" fillId="0" borderId="0" xfId="1" applyFont="1" applyAlignment="1" applyProtection="1">
      <alignment horizontal="justify" vertical="center" wrapText="1"/>
    </xf>
    <xf numFmtId="0" fontId="91" fillId="3" borderId="0" xfId="0" applyFont="1" applyFill="1" applyAlignment="1">
      <alignment horizontal="center" vertical="center"/>
    </xf>
    <xf numFmtId="0" fontId="41" fillId="0" borderId="0" xfId="4" applyFont="1" applyAlignment="1">
      <alignment horizontal="left" vertical="center"/>
    </xf>
    <xf numFmtId="0" fontId="46" fillId="0" borderId="0" xfId="4" quotePrefix="1" applyFont="1" applyAlignment="1">
      <alignment horizontal="left" vertical="center"/>
    </xf>
    <xf numFmtId="0" fontId="93" fillId="5" borderId="0" xfId="4" quotePrefix="1" applyFont="1" applyFill="1" applyAlignment="1">
      <alignment horizontal="center"/>
    </xf>
    <xf numFmtId="0" fontId="81" fillId="5" borderId="0" xfId="1" applyFont="1" applyFill="1" applyAlignment="1" applyProtection="1">
      <alignment horizontal="center" wrapText="1"/>
    </xf>
    <xf numFmtId="0" fontId="93" fillId="5" borderId="0" xfId="1" applyFont="1" applyFill="1" applyAlignment="1" applyProtection="1">
      <alignment horizontal="center"/>
    </xf>
    <xf numFmtId="0" fontId="81" fillId="5" borderId="0" xfId="4" quotePrefix="1" applyFont="1" applyFill="1" applyAlignment="1">
      <alignment horizontal="center" vertical="center"/>
    </xf>
    <xf numFmtId="0" fontId="84" fillId="3" borderId="13" xfId="4" applyFont="1" applyFill="1" applyBorder="1" applyAlignment="1">
      <alignment horizontal="center" vertical="center"/>
    </xf>
    <xf numFmtId="0" fontId="84" fillId="3" borderId="35" xfId="4" applyFont="1" applyFill="1" applyBorder="1" applyAlignment="1">
      <alignment horizontal="center" vertical="center"/>
    </xf>
    <xf numFmtId="0" fontId="84" fillId="3" borderId="15" xfId="4" applyFont="1" applyFill="1" applyBorder="1" applyAlignment="1">
      <alignment horizontal="center" vertical="center" wrapText="1"/>
    </xf>
    <xf numFmtId="0" fontId="84" fillId="3" borderId="16" xfId="0" applyFont="1" applyFill="1" applyBorder="1" applyAlignment="1">
      <alignment horizontal="center" vertical="center" wrapText="1"/>
    </xf>
    <xf numFmtId="0" fontId="84" fillId="3" borderId="15" xfId="0" applyFont="1" applyFill="1" applyBorder="1" applyAlignment="1">
      <alignment horizontal="center" vertical="center" wrapText="1"/>
    </xf>
    <xf numFmtId="0" fontId="84" fillId="3" borderId="20" xfId="0" applyFont="1" applyFill="1" applyBorder="1" applyAlignment="1">
      <alignment horizontal="center" vertical="center" wrapText="1"/>
    </xf>
    <xf numFmtId="0" fontId="94" fillId="5" borderId="0" xfId="0" applyFont="1" applyFill="1" applyAlignment="1">
      <alignment horizontal="center" vertical="center" wrapText="1"/>
    </xf>
    <xf numFmtId="0" fontId="95" fillId="5" borderId="0" xfId="1" applyFont="1" applyFill="1" applyAlignment="1" applyProtection="1">
      <alignment horizontal="center" vertical="center" wrapText="1"/>
    </xf>
    <xf numFmtId="0" fontId="81" fillId="5" borderId="0" xfId="1" applyFont="1" applyFill="1" applyAlignment="1" applyProtection="1">
      <alignment horizontal="center" vertical="center" wrapText="1"/>
    </xf>
    <xf numFmtId="0" fontId="93" fillId="5" borderId="0" xfId="1" applyFont="1" applyFill="1" applyAlignment="1" applyProtection="1">
      <alignment horizontal="center" vertical="center" wrapText="1"/>
    </xf>
    <xf numFmtId="0" fontId="83" fillId="0" borderId="16" xfId="0" applyFont="1" applyBorder="1" applyAlignment="1">
      <alignment horizontal="left"/>
    </xf>
    <xf numFmtId="0" fontId="83" fillId="0" borderId="15" xfId="0" applyFont="1" applyBorder="1" applyAlignment="1">
      <alignment horizontal="left"/>
    </xf>
    <xf numFmtId="0" fontId="46" fillId="0" borderId="11" xfId="0" applyFont="1" applyBorder="1" applyAlignment="1">
      <alignment horizontal="left" vertical="center"/>
    </xf>
    <xf numFmtId="0" fontId="83" fillId="0" borderId="16" xfId="0" applyFont="1" applyBorder="1" applyAlignment="1">
      <alignment vertical="center"/>
    </xf>
    <xf numFmtId="0" fontId="83" fillId="0" borderId="15" xfId="0" applyFont="1" applyBorder="1" applyAlignment="1">
      <alignment vertical="center"/>
    </xf>
    <xf numFmtId="0" fontId="84" fillId="3" borderId="7" xfId="0" applyFont="1" applyFill="1" applyBorder="1" applyAlignment="1">
      <alignment horizontal="center" vertical="center"/>
    </xf>
    <xf numFmtId="0" fontId="84" fillId="3" borderId="7" xfId="0" applyFont="1" applyFill="1" applyBorder="1" applyAlignment="1">
      <alignment horizontal="center" vertical="center" wrapText="1"/>
    </xf>
    <xf numFmtId="0" fontId="83" fillId="0" borderId="8" xfId="0" applyFont="1" applyBorder="1" applyAlignment="1">
      <alignment horizontal="left" vertical="center"/>
    </xf>
    <xf numFmtId="0" fontId="83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84" fillId="3" borderId="14" xfId="0" applyFont="1" applyFill="1" applyBorder="1" applyAlignment="1">
      <alignment horizontal="center" vertical="center" wrapText="1"/>
    </xf>
    <xf numFmtId="0" fontId="84" fillId="3" borderId="17" xfId="0" applyFont="1" applyFill="1" applyBorder="1" applyAlignment="1">
      <alignment horizontal="center" vertical="center" wrapText="1"/>
    </xf>
    <xf numFmtId="0" fontId="83" fillId="0" borderId="16" xfId="0" applyFont="1" applyBorder="1" applyAlignment="1">
      <alignment horizontal="left" vertical="center"/>
    </xf>
    <xf numFmtId="0" fontId="83" fillId="0" borderId="15" xfId="0" applyFont="1" applyBorder="1" applyAlignment="1">
      <alignment horizontal="left" vertical="center"/>
    </xf>
    <xf numFmtId="0" fontId="91" fillId="5" borderId="0" xfId="1" applyFont="1" applyFill="1" applyAlignment="1" applyProtection="1">
      <alignment horizontal="center" vertical="center"/>
    </xf>
    <xf numFmtId="0" fontId="91" fillId="3" borderId="0" xfId="0" applyFont="1" applyFill="1" applyAlignment="1">
      <alignment horizontal="center"/>
    </xf>
    <xf numFmtId="0" fontId="81" fillId="5" borderId="27" xfId="1" applyFont="1" applyFill="1" applyBorder="1" applyAlignment="1" applyProtection="1">
      <alignment horizontal="center" vertical="center" wrapText="1"/>
    </xf>
    <xf numFmtId="0" fontId="83" fillId="0" borderId="20" xfId="0" applyFont="1" applyBorder="1" applyAlignment="1">
      <alignment vertical="center"/>
    </xf>
    <xf numFmtId="0" fontId="84" fillId="3" borderId="14" xfId="0" applyFont="1" applyFill="1" applyBorder="1" applyAlignment="1">
      <alignment horizontal="center" vertical="center"/>
    </xf>
    <xf numFmtId="0" fontId="84" fillId="3" borderId="17" xfId="0" applyFont="1" applyFill="1" applyBorder="1" applyAlignment="1">
      <alignment horizontal="center" vertical="center"/>
    </xf>
    <xf numFmtId="0" fontId="93" fillId="5" borderId="0" xfId="0" applyFont="1" applyFill="1" applyAlignment="1">
      <alignment horizontal="center" vertical="center" wrapText="1"/>
    </xf>
    <xf numFmtId="0" fontId="93" fillId="5" borderId="0" xfId="4" applyFont="1" applyFill="1" applyAlignment="1">
      <alignment horizontal="center" vertical="center" wrapText="1"/>
    </xf>
    <xf numFmtId="0" fontId="83" fillId="0" borderId="16" xfId="4" applyFont="1" applyBorder="1" applyAlignment="1">
      <alignment vertical="center"/>
    </xf>
    <xf numFmtId="0" fontId="83" fillId="0" borderId="15" xfId="4" applyFont="1" applyBorder="1" applyAlignment="1">
      <alignment vertical="center"/>
    </xf>
    <xf numFmtId="0" fontId="94" fillId="5" borderId="0" xfId="4" applyFont="1" applyFill="1" applyAlignment="1">
      <alignment horizontal="center" vertical="center" wrapText="1"/>
    </xf>
    <xf numFmtId="0" fontId="80" fillId="0" borderId="16" xfId="4" applyFont="1" applyBorder="1" applyAlignment="1">
      <alignment vertical="center"/>
    </xf>
    <xf numFmtId="0" fontId="80" fillId="0" borderId="15" xfId="4" applyFont="1" applyBorder="1" applyAlignment="1">
      <alignment vertical="center"/>
    </xf>
    <xf numFmtId="0" fontId="84" fillId="3" borderId="11" xfId="0" applyFont="1" applyFill="1" applyBorder="1" applyAlignment="1">
      <alignment horizontal="center" vertical="center" wrapText="1"/>
    </xf>
    <xf numFmtId="0" fontId="84" fillId="3" borderId="36" xfId="0" applyFont="1" applyFill="1" applyBorder="1" applyAlignment="1">
      <alignment horizontal="center" vertical="center" wrapText="1"/>
    </xf>
    <xf numFmtId="0" fontId="83" fillId="0" borderId="16" xfId="0" applyFont="1" applyBorder="1"/>
    <xf numFmtId="0" fontId="83" fillId="0" borderId="15" xfId="0" applyFont="1" applyBorder="1"/>
    <xf numFmtId="0" fontId="91" fillId="5" borderId="6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96" fillId="0" borderId="16" xfId="0" applyFont="1" applyBorder="1" applyAlignment="1">
      <alignment horizontal="left"/>
    </xf>
    <xf numFmtId="0" fontId="96" fillId="0" borderId="15" xfId="0" applyFont="1" applyBorder="1" applyAlignment="1">
      <alignment horizontal="left"/>
    </xf>
    <xf numFmtId="0" fontId="72" fillId="0" borderId="16" xfId="0" applyFont="1" applyBorder="1"/>
    <xf numFmtId="0" fontId="72" fillId="0" borderId="15" xfId="0" applyFont="1" applyBorder="1"/>
    <xf numFmtId="0" fontId="84" fillId="3" borderId="25" xfId="0" applyFont="1" applyFill="1" applyBorder="1" applyAlignment="1">
      <alignment horizontal="center" vertical="center" wrapText="1"/>
    </xf>
    <xf numFmtId="0" fontId="82" fillId="3" borderId="16" xfId="0" applyFont="1" applyFill="1" applyBorder="1" applyAlignment="1">
      <alignment horizontal="center" vertical="center" wrapText="1"/>
    </xf>
    <xf numFmtId="0" fontId="82" fillId="3" borderId="15" xfId="0" applyFont="1" applyFill="1" applyBorder="1" applyAlignment="1">
      <alignment horizontal="center" vertical="center" wrapText="1"/>
    </xf>
    <xf numFmtId="0" fontId="82" fillId="3" borderId="20" xfId="0" applyFont="1" applyFill="1" applyBorder="1" applyAlignment="1">
      <alignment horizontal="center" vertical="center" wrapText="1"/>
    </xf>
    <xf numFmtId="0" fontId="97" fillId="0" borderId="0" xfId="4" applyFont="1" applyAlignment="1">
      <alignment horizontal="center" vertical="center" wrapText="1"/>
    </xf>
    <xf numFmtId="0" fontId="98" fillId="0" borderId="0" xfId="4" applyFont="1" applyAlignment="1">
      <alignment horizontal="center" vertical="center"/>
    </xf>
    <xf numFmtId="0" fontId="98" fillId="0" borderId="0" xfId="4" applyFont="1" applyAlignment="1">
      <alignment horizontal="center" vertical="center" wrapText="1"/>
    </xf>
    <xf numFmtId="0" fontId="84" fillId="3" borderId="26" xfId="0" applyFont="1" applyFill="1" applyBorder="1" applyAlignment="1">
      <alignment horizontal="center" vertical="center" wrapText="1"/>
    </xf>
    <xf numFmtId="0" fontId="84" fillId="3" borderId="35" xfId="0" applyFont="1" applyFill="1" applyBorder="1" applyAlignment="1">
      <alignment horizontal="center" vertical="center" wrapText="1"/>
    </xf>
    <xf numFmtId="0" fontId="84" fillId="3" borderId="2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justify" vertical="justify"/>
    </xf>
    <xf numFmtId="0" fontId="14" fillId="0" borderId="0" xfId="0" applyFont="1" applyAlignment="1">
      <alignment horizontal="center"/>
    </xf>
    <xf numFmtId="0" fontId="26" fillId="0" borderId="0" xfId="0" applyFont="1" applyAlignment="1">
      <alignment horizontal="center" vertical="top"/>
    </xf>
    <xf numFmtId="0" fontId="15" fillId="0" borderId="0" xfId="0" applyFont="1" applyAlignment="1">
      <alignment horizontal="justify" vertical="justify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top"/>
    </xf>
    <xf numFmtId="0" fontId="82" fillId="3" borderId="16" xfId="0" applyFont="1" applyFill="1" applyBorder="1" applyAlignment="1">
      <alignment horizontal="center"/>
    </xf>
    <xf numFmtId="0" fontId="82" fillId="3" borderId="20" xfId="0" applyFont="1" applyFill="1" applyBorder="1" applyAlignment="1">
      <alignment horizontal="center"/>
    </xf>
    <xf numFmtId="0" fontId="46" fillId="0" borderId="16" xfId="0" applyFont="1" applyBorder="1" applyAlignment="1">
      <alignment horizontal="left" vertical="center"/>
    </xf>
    <xf numFmtId="0" fontId="11" fillId="0" borderId="0" xfId="0" quotePrefix="1" applyFont="1" applyAlignment="1">
      <alignment horizontal="center"/>
    </xf>
    <xf numFmtId="0" fontId="11" fillId="0" borderId="0" xfId="0" applyFont="1" applyAlignment="1">
      <alignment horizontal="center"/>
    </xf>
    <xf numFmtId="0" fontId="46" fillId="0" borderId="11" xfId="0" quotePrefix="1" applyFont="1" applyBorder="1" applyAlignment="1">
      <alignment horizontal="left" vertical="center"/>
    </xf>
    <xf numFmtId="0" fontId="10" fillId="0" borderId="11" xfId="0" applyFont="1" applyBorder="1" applyAlignment="1">
      <alignment horizontal="left"/>
    </xf>
    <xf numFmtId="0" fontId="83" fillId="0" borderId="20" xfId="0" applyFont="1" applyBorder="1"/>
    <xf numFmtId="0" fontId="84" fillId="3" borderId="19" xfId="0" applyFont="1" applyFill="1" applyBorder="1" applyAlignment="1">
      <alignment horizontal="center" vertical="center" wrapText="1"/>
    </xf>
    <xf numFmtId="0" fontId="82" fillId="3" borderId="36" xfId="0" applyFont="1" applyFill="1" applyBorder="1" applyAlignment="1">
      <alignment horizontal="center" vertical="center" wrapText="1"/>
    </xf>
    <xf numFmtId="0" fontId="82" fillId="3" borderId="25" xfId="0" applyFont="1" applyFill="1" applyBorder="1" applyAlignment="1">
      <alignment horizontal="center" vertical="center" wrapText="1"/>
    </xf>
    <xf numFmtId="0" fontId="82" fillId="3" borderId="14" xfId="0" applyFont="1" applyFill="1" applyBorder="1" applyAlignment="1">
      <alignment horizontal="center" vertical="center" wrapText="1"/>
    </xf>
    <xf numFmtId="0" fontId="82" fillId="3" borderId="17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justify" vertical="justify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justify" vertical="center"/>
    </xf>
    <xf numFmtId="0" fontId="15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justify" vertical="justify"/>
    </xf>
    <xf numFmtId="0" fontId="84" fillId="3" borderId="19" xfId="0" applyFont="1" applyFill="1" applyBorder="1" applyAlignment="1">
      <alignment horizontal="center" vertical="center"/>
    </xf>
    <xf numFmtId="0" fontId="82" fillId="3" borderId="14" xfId="0" applyFont="1" applyFill="1" applyBorder="1" applyAlignment="1">
      <alignment horizontal="center" vertical="center"/>
    </xf>
    <xf numFmtId="0" fontId="82" fillId="3" borderId="17" xfId="0" applyFont="1" applyFill="1" applyBorder="1" applyAlignment="1">
      <alignment horizontal="center" vertical="center"/>
    </xf>
    <xf numFmtId="0" fontId="84" fillId="3" borderId="16" xfId="0" applyFont="1" applyFill="1" applyBorder="1" applyAlignment="1">
      <alignment horizontal="center" vertical="center"/>
    </xf>
    <xf numFmtId="0" fontId="84" fillId="3" borderId="20" xfId="0" applyFont="1" applyFill="1" applyBorder="1" applyAlignment="1">
      <alignment horizontal="center" vertical="center"/>
    </xf>
    <xf numFmtId="170" fontId="10" fillId="0" borderId="8" xfId="0" applyNumberFormat="1" applyFont="1" applyBorder="1" applyAlignment="1">
      <alignment horizontal="center"/>
    </xf>
    <xf numFmtId="170" fontId="10" fillId="0" borderId="0" xfId="0" applyNumberFormat="1" applyFont="1" applyAlignment="1">
      <alignment horizontal="center"/>
    </xf>
    <xf numFmtId="0" fontId="41" fillId="0" borderId="0" xfId="0" applyFont="1" applyBorder="1" applyAlignment="1">
      <alignment horizontal="center"/>
    </xf>
    <xf numFmtId="0" fontId="41" fillId="0" borderId="26" xfId="0" applyFont="1" applyBorder="1" applyAlignment="1">
      <alignment horizontal="center"/>
    </xf>
    <xf numFmtId="0" fontId="84" fillId="3" borderId="13" xfId="0" applyFont="1" applyFill="1" applyBorder="1" applyAlignment="1">
      <alignment horizontal="center" vertical="center"/>
    </xf>
    <xf numFmtId="0" fontId="84" fillId="3" borderId="36" xfId="0" applyFont="1" applyFill="1" applyBorder="1" applyAlignment="1">
      <alignment horizontal="center" vertical="center"/>
    </xf>
    <xf numFmtId="0" fontId="84" fillId="3" borderId="35" xfId="0" applyFont="1" applyFill="1" applyBorder="1" applyAlignment="1">
      <alignment horizontal="center" vertical="center"/>
    </xf>
    <xf numFmtId="0" fontId="84" fillId="3" borderId="25" xfId="0" applyFont="1" applyFill="1" applyBorder="1" applyAlignment="1">
      <alignment horizontal="center" vertical="center"/>
    </xf>
    <xf numFmtId="0" fontId="84" fillId="3" borderId="15" xfId="0" applyFont="1" applyFill="1" applyBorder="1" applyAlignment="1">
      <alignment horizontal="center" vertical="center"/>
    </xf>
    <xf numFmtId="0" fontId="84" fillId="3" borderId="37" xfId="0" applyFont="1" applyFill="1" applyBorder="1" applyAlignment="1">
      <alignment horizontal="center" vertical="center" wrapText="1"/>
    </xf>
    <xf numFmtId="0" fontId="84" fillId="3" borderId="38" xfId="0" applyFont="1" applyFill="1" applyBorder="1" applyAlignment="1">
      <alignment horizontal="center" vertical="center" wrapText="1"/>
    </xf>
    <xf numFmtId="0" fontId="84" fillId="3" borderId="39" xfId="0" applyFont="1" applyFill="1" applyBorder="1" applyAlignment="1">
      <alignment horizontal="center" vertical="center" wrapText="1"/>
    </xf>
    <xf numFmtId="0" fontId="84" fillId="3" borderId="28" xfId="0" applyFont="1" applyFill="1" applyBorder="1" applyAlignment="1">
      <alignment horizontal="center" vertical="center" wrapText="1"/>
    </xf>
    <xf numFmtId="0" fontId="84" fillId="3" borderId="0" xfId="0" applyFont="1" applyFill="1" applyAlignment="1">
      <alignment horizontal="center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3" fillId="0" borderId="35" xfId="0" applyFont="1" applyBorder="1" applyAlignment="1">
      <alignment horizontal="left"/>
    </xf>
    <xf numFmtId="0" fontId="83" fillId="0" borderId="27" xfId="0" applyFont="1" applyBorder="1" applyAlignment="1">
      <alignment horizontal="left"/>
    </xf>
    <xf numFmtId="0" fontId="4" fillId="0" borderId="0" xfId="0" applyFont="1" applyAlignment="1">
      <alignment horizontal="left" vertical="top"/>
    </xf>
    <xf numFmtId="0" fontId="92" fillId="0" borderId="0" xfId="1" applyFont="1" applyAlignment="1" applyProtection="1">
      <alignment horizontal="left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99" fillId="3" borderId="0" xfId="0" applyFont="1" applyFill="1" applyAlignment="1">
      <alignment horizontal="justify" vertical="center" wrapText="1"/>
    </xf>
    <xf numFmtId="0" fontId="83" fillId="0" borderId="35" xfId="0" applyFont="1" applyBorder="1" applyAlignment="1">
      <alignment horizontal="left" vertical="center"/>
    </xf>
    <xf numFmtId="0" fontId="83" fillId="0" borderId="27" xfId="0" applyFont="1" applyBorder="1" applyAlignment="1">
      <alignment horizontal="left" vertical="center"/>
    </xf>
    <xf numFmtId="0" fontId="53" fillId="0" borderId="16" xfId="0" applyFont="1" applyBorder="1" applyAlignment="1">
      <alignment horizontal="left" vertical="center"/>
    </xf>
    <xf numFmtId="0" fontId="83" fillId="0" borderId="16" xfId="4" applyFont="1" applyBorder="1" applyAlignment="1">
      <alignment horizontal="left" vertical="center"/>
    </xf>
    <xf numFmtId="0" fontId="83" fillId="0" borderId="15" xfId="4" applyFont="1" applyBorder="1" applyAlignment="1">
      <alignment horizontal="left" vertical="center"/>
    </xf>
    <xf numFmtId="0" fontId="83" fillId="0" borderId="8" xfId="4" applyFont="1" applyBorder="1" applyAlignment="1">
      <alignment horizontal="left" vertical="center"/>
    </xf>
    <xf numFmtId="0" fontId="83" fillId="0" borderId="0" xfId="4" applyFont="1" applyAlignment="1">
      <alignment horizontal="left" vertical="center"/>
    </xf>
    <xf numFmtId="0" fontId="83" fillId="0" borderId="8" xfId="0" applyFont="1" applyBorder="1" applyAlignment="1">
      <alignment horizontal="left"/>
    </xf>
    <xf numFmtId="0" fontId="83" fillId="0" borderId="0" xfId="0" applyFont="1" applyAlignment="1">
      <alignment horizontal="left"/>
    </xf>
    <xf numFmtId="0" fontId="83" fillId="0" borderId="16" xfId="0" applyFont="1" applyBorder="1" applyAlignment="1">
      <alignment horizontal="justify" vertical="center" wrapText="1"/>
    </xf>
    <xf numFmtId="0" fontId="83" fillId="0" borderId="15" xfId="0" applyFont="1" applyBorder="1" applyAlignment="1">
      <alignment horizontal="justify" vertical="center" wrapText="1"/>
    </xf>
    <xf numFmtId="0" fontId="100" fillId="0" borderId="16" xfId="0" applyFont="1" applyBorder="1" applyAlignment="1">
      <alignment horizontal="left"/>
    </xf>
    <xf numFmtId="0" fontId="100" fillId="0" borderId="15" xfId="0" applyFont="1" applyBorder="1" applyAlignment="1">
      <alignment horizontal="left"/>
    </xf>
    <xf numFmtId="0" fontId="46" fillId="0" borderId="16" xfId="0" applyFont="1" applyBorder="1" applyAlignment="1">
      <alignment horizontal="left"/>
    </xf>
    <xf numFmtId="0" fontId="83" fillId="0" borderId="20" xfId="0" applyFont="1" applyBorder="1" applyAlignment="1">
      <alignment horizontal="left"/>
    </xf>
    <xf numFmtId="0" fontId="41" fillId="0" borderId="15" xfId="0" applyFont="1" applyBorder="1" applyAlignment="1">
      <alignment horizontal="left"/>
    </xf>
    <xf numFmtId="0" fontId="84" fillId="3" borderId="17" xfId="4" applyFont="1" applyFill="1" applyBorder="1" applyAlignment="1">
      <alignment horizontal="center" vertical="center"/>
    </xf>
    <xf numFmtId="0" fontId="84" fillId="3" borderId="7" xfId="4" applyFont="1" applyFill="1" applyBorder="1" applyAlignment="1">
      <alignment horizontal="center" vertical="center"/>
    </xf>
    <xf numFmtId="0" fontId="94" fillId="5" borderId="13" xfId="4" applyFont="1" applyFill="1" applyBorder="1" applyAlignment="1">
      <alignment horizontal="center" vertical="center" wrapText="1"/>
    </xf>
    <xf numFmtId="0" fontId="94" fillId="5" borderId="11" xfId="4" applyFont="1" applyFill="1" applyBorder="1" applyAlignment="1">
      <alignment horizontal="center" vertical="center" wrapText="1"/>
    </xf>
    <xf numFmtId="0" fontId="81" fillId="5" borderId="35" xfId="1" applyFont="1" applyFill="1" applyBorder="1" applyAlignment="1" applyProtection="1">
      <alignment horizontal="center" vertical="center" wrapText="1"/>
    </xf>
    <xf numFmtId="0" fontId="84" fillId="3" borderId="35" xfId="4" applyFont="1" applyFill="1" applyBorder="1" applyAlignment="1">
      <alignment horizontal="center" vertical="center" wrapText="1"/>
    </xf>
    <xf numFmtId="0" fontId="84" fillId="3" borderId="27" xfId="4" applyFont="1" applyFill="1" applyBorder="1" applyAlignment="1">
      <alignment horizontal="center" vertical="center" wrapText="1"/>
    </xf>
    <xf numFmtId="0" fontId="83" fillId="0" borderId="8" xfId="4" applyFont="1" applyBorder="1" applyAlignment="1">
      <alignment horizontal="left" vertical="center" wrapText="1"/>
    </xf>
    <xf numFmtId="0" fontId="83" fillId="0" borderId="0" xfId="4" applyFont="1" applyAlignment="1">
      <alignment horizontal="left" vertical="center" wrapText="1"/>
    </xf>
    <xf numFmtId="0" fontId="93" fillId="5" borderId="13" xfId="6" applyFont="1" applyFill="1" applyBorder="1" applyAlignment="1">
      <alignment horizontal="center" vertical="center" wrapText="1"/>
    </xf>
    <xf numFmtId="0" fontId="93" fillId="5" borderId="11" xfId="6" applyFont="1" applyFill="1" applyBorder="1" applyAlignment="1">
      <alignment horizontal="center" vertical="center" wrapText="1"/>
    </xf>
    <xf numFmtId="0" fontId="93" fillId="5" borderId="36" xfId="6" applyFont="1" applyFill="1" applyBorder="1" applyAlignment="1">
      <alignment horizontal="center" vertical="center" wrapText="1"/>
    </xf>
    <xf numFmtId="0" fontId="81" fillId="5" borderId="26" xfId="1" applyFont="1" applyFill="1" applyBorder="1" applyAlignment="1" applyProtection="1">
      <alignment horizontal="center" vertical="center" wrapText="1"/>
    </xf>
    <xf numFmtId="0" fontId="82" fillId="3" borderId="13" xfId="6" applyFont="1" applyFill="1" applyBorder="1" applyAlignment="1">
      <alignment horizontal="center" vertical="center" wrapText="1"/>
    </xf>
    <xf numFmtId="0" fontId="82" fillId="3" borderId="17" xfId="6" applyFont="1" applyFill="1" applyBorder="1" applyAlignment="1">
      <alignment horizontal="center" vertical="center" wrapText="1"/>
    </xf>
    <xf numFmtId="0" fontId="82" fillId="3" borderId="40" xfId="6" applyFont="1" applyFill="1" applyBorder="1" applyAlignment="1">
      <alignment horizontal="center" vertical="center"/>
    </xf>
    <xf numFmtId="0" fontId="82" fillId="3" borderId="41" xfId="6" applyFont="1" applyFill="1" applyBorder="1" applyAlignment="1">
      <alignment horizontal="center" vertical="center"/>
    </xf>
    <xf numFmtId="0" fontId="82" fillId="3" borderId="42" xfId="6" applyFont="1" applyFill="1" applyBorder="1" applyAlignment="1">
      <alignment horizontal="center" vertical="center"/>
    </xf>
    <xf numFmtId="0" fontId="46" fillId="4" borderId="0" xfId="6" applyFont="1" applyFill="1" applyAlignment="1">
      <alignment horizontal="left" vertical="center"/>
    </xf>
    <xf numFmtId="0" fontId="83" fillId="0" borderId="8" xfId="4" applyFont="1" applyBorder="1" applyAlignment="1">
      <alignment horizontal="left"/>
    </xf>
    <xf numFmtId="0" fontId="83" fillId="0" borderId="0" xfId="4" applyFont="1" applyAlignment="1">
      <alignment horizontal="left"/>
    </xf>
    <xf numFmtId="0" fontId="93" fillId="5" borderId="37" xfId="6" applyFont="1" applyFill="1" applyBorder="1" applyAlignment="1">
      <alignment horizontal="center" vertical="center" wrapText="1"/>
    </xf>
    <xf numFmtId="0" fontId="93" fillId="5" borderId="38" xfId="6" applyFont="1" applyFill="1" applyBorder="1" applyAlignment="1">
      <alignment horizontal="center" vertical="center" wrapText="1"/>
    </xf>
    <xf numFmtId="0" fontId="93" fillId="5" borderId="43" xfId="6" applyFont="1" applyFill="1" applyBorder="1" applyAlignment="1">
      <alignment horizontal="center" vertical="center" wrapText="1"/>
    </xf>
    <xf numFmtId="0" fontId="81" fillId="5" borderId="44" xfId="1" applyFont="1" applyFill="1" applyBorder="1" applyAlignment="1" applyProtection="1">
      <alignment horizontal="center" vertical="center" wrapText="1"/>
    </xf>
    <xf numFmtId="0" fontId="81" fillId="5" borderId="45" xfId="1" applyFont="1" applyFill="1" applyBorder="1" applyAlignment="1" applyProtection="1">
      <alignment horizontal="center" vertical="center" wrapText="1"/>
    </xf>
    <xf numFmtId="0" fontId="82" fillId="3" borderId="24" xfId="6" applyFont="1" applyFill="1" applyBorder="1" applyAlignment="1">
      <alignment horizontal="center" vertical="center" wrapText="1"/>
    </xf>
    <xf numFmtId="0" fontId="82" fillId="3" borderId="46" xfId="6" applyFont="1" applyFill="1" applyBorder="1" applyAlignment="1">
      <alignment horizontal="center" vertical="center" wrapText="1"/>
    </xf>
    <xf numFmtId="0" fontId="82" fillId="3" borderId="41" xfId="6" applyFont="1" applyFill="1" applyBorder="1" applyAlignment="1">
      <alignment horizontal="center" vertical="center" wrapText="1"/>
    </xf>
    <xf numFmtId="0" fontId="82" fillId="3" borderId="42" xfId="6" applyFont="1" applyFill="1" applyBorder="1" applyAlignment="1">
      <alignment horizontal="center" vertical="center" wrapText="1"/>
    </xf>
  </cellXfs>
  <cellStyles count="18">
    <cellStyle name="Hipervínculo" xfId="1" builtinId="8"/>
    <cellStyle name="Millares 2" xfId="2" xr:uid="{00000000-0005-0000-0000-000001000000}"/>
    <cellStyle name="Millares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  <cellStyle name="Normal 4" xfId="7" xr:uid="{00000000-0005-0000-0000-000007000000}"/>
    <cellStyle name="Normal_Hoja2" xfId="8" xr:uid="{00000000-0005-0000-0000-000008000000}"/>
    <cellStyle name="Porcentaje" xfId="9" builtinId="5"/>
    <cellStyle name="Porcentaje 2" xfId="10" xr:uid="{00000000-0005-0000-0000-00000A000000}"/>
    <cellStyle name="Porcentual 2" xfId="11" xr:uid="{00000000-0005-0000-0000-00000B000000}"/>
    <cellStyle name="Porcentual 2 2" xfId="12" xr:uid="{00000000-0005-0000-0000-00000C000000}"/>
    <cellStyle name="Porcentual 3" xfId="13" xr:uid="{00000000-0005-0000-0000-00000D000000}"/>
    <cellStyle name="Porcentual 3 2" xfId="14" xr:uid="{00000000-0005-0000-0000-00000E000000}"/>
    <cellStyle name="Porcentual 4" xfId="15" xr:uid="{00000000-0005-0000-0000-00000F000000}"/>
    <cellStyle name="Porcentual 5" xfId="16" xr:uid="{00000000-0005-0000-0000-000010000000}"/>
    <cellStyle name="Porcentual 6" xfId="17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10" Target="worksheets/sheet10.xml" Type="http://schemas.openxmlformats.org/officeDocument/2006/relationships/worksheet"/>
<Relationship Id="rId11" Target="worksheets/sheet11.xml" Type="http://schemas.openxmlformats.org/officeDocument/2006/relationships/worksheet"/>
<Relationship Id="rId12" Target="worksheets/sheet12.xml" Type="http://schemas.openxmlformats.org/officeDocument/2006/relationships/worksheet"/>
<Relationship Id="rId13" Target="worksheets/sheet13.xml" Type="http://schemas.openxmlformats.org/officeDocument/2006/relationships/worksheet"/>
<Relationship Id="rId14" Target="worksheets/sheet14.xml" Type="http://schemas.openxmlformats.org/officeDocument/2006/relationships/worksheet"/>
<Relationship Id="rId15" Target="worksheets/sheet15.xml" Type="http://schemas.openxmlformats.org/officeDocument/2006/relationships/worksheet"/>
<Relationship Id="rId16" Target="worksheets/sheet16.xml" Type="http://schemas.openxmlformats.org/officeDocument/2006/relationships/worksheet"/>
<Relationship Id="rId17" Target="worksheets/sheet17.xml" Type="http://schemas.openxmlformats.org/officeDocument/2006/relationships/worksheet"/>
<Relationship Id="rId18" Target="worksheets/sheet18.xml" Type="http://schemas.openxmlformats.org/officeDocument/2006/relationships/worksheet"/>
<Relationship Id="rId19" Target="worksheets/sheet19.xml" Type="http://schemas.openxmlformats.org/officeDocument/2006/relationships/worksheet"/>
<Relationship Id="rId2" Target="worksheets/sheet2.xml" Type="http://schemas.openxmlformats.org/officeDocument/2006/relationships/worksheet"/>
<Relationship Id="rId20" Target="worksheets/sheet20.xml" Type="http://schemas.openxmlformats.org/officeDocument/2006/relationships/worksheet"/>
<Relationship Id="rId21" Target="worksheets/sheet21.xml" Type="http://schemas.openxmlformats.org/officeDocument/2006/relationships/worksheet"/>
<Relationship Id="rId22" Target="worksheets/sheet22.xml" Type="http://schemas.openxmlformats.org/officeDocument/2006/relationships/worksheet"/>
<Relationship Id="rId23" Target="worksheets/sheet23.xml" Type="http://schemas.openxmlformats.org/officeDocument/2006/relationships/worksheet"/>
<Relationship Id="rId24" Target="worksheets/sheet24.xml" Type="http://schemas.openxmlformats.org/officeDocument/2006/relationships/worksheet"/>
<Relationship Id="rId25" Target="worksheets/sheet25.xml" Type="http://schemas.openxmlformats.org/officeDocument/2006/relationships/worksheet"/>
<Relationship Id="rId26" Target="worksheets/sheet26.xml" Type="http://schemas.openxmlformats.org/officeDocument/2006/relationships/worksheet"/>
<Relationship Id="rId27" Target="worksheets/sheet27.xml" Type="http://schemas.openxmlformats.org/officeDocument/2006/relationships/worksheet"/>
<Relationship Id="rId28" Target="worksheets/sheet28.xml" Type="http://schemas.openxmlformats.org/officeDocument/2006/relationships/worksheet"/>
<Relationship Id="rId29" Target="worksheets/sheet29.xml" Type="http://schemas.openxmlformats.org/officeDocument/2006/relationships/worksheet"/>
<Relationship Id="rId3" Target="worksheets/sheet3.xml" Type="http://schemas.openxmlformats.org/officeDocument/2006/relationships/worksheet"/>
<Relationship Id="rId30" Target="worksheets/sheet30.xml" Type="http://schemas.openxmlformats.org/officeDocument/2006/relationships/worksheet"/>
<Relationship Id="rId31" Target="worksheets/sheet31.xml" Type="http://schemas.openxmlformats.org/officeDocument/2006/relationships/worksheet"/>
<Relationship Id="rId32" Target="worksheets/sheet32.xml" Type="http://schemas.openxmlformats.org/officeDocument/2006/relationships/worksheet"/>
<Relationship Id="rId33" Target="worksheets/sheet33.xml" Type="http://schemas.openxmlformats.org/officeDocument/2006/relationships/worksheet"/>
<Relationship Id="rId34" Target="worksheets/sheet34.xml" Type="http://schemas.openxmlformats.org/officeDocument/2006/relationships/worksheet"/>
<Relationship Id="rId35" Target="worksheets/sheet35.xml" Type="http://schemas.openxmlformats.org/officeDocument/2006/relationships/worksheet"/>
<Relationship Id="rId36" Target="worksheets/sheet36.xml" Type="http://schemas.openxmlformats.org/officeDocument/2006/relationships/worksheet"/>
<Relationship Id="rId37" Target="worksheets/sheet37.xml" Type="http://schemas.openxmlformats.org/officeDocument/2006/relationships/worksheet"/>
<Relationship Id="rId38" Target="worksheets/sheet38.xml" Type="http://schemas.openxmlformats.org/officeDocument/2006/relationships/worksheet"/>
<Relationship Id="rId39" Target="worksheets/sheet39.xml" Type="http://schemas.openxmlformats.org/officeDocument/2006/relationships/worksheet"/>
<Relationship Id="rId4" Target="worksheets/sheet4.xml" Type="http://schemas.openxmlformats.org/officeDocument/2006/relationships/worksheet"/>
<Relationship Id="rId40" Target="worksheets/sheet40.xml" Type="http://schemas.openxmlformats.org/officeDocument/2006/relationships/worksheet"/>
<Relationship Id="rId41" Target="worksheets/sheet41.xml" Type="http://schemas.openxmlformats.org/officeDocument/2006/relationships/worksheet"/>
<Relationship Id="rId42" Target="worksheets/sheet42.xml" Type="http://schemas.openxmlformats.org/officeDocument/2006/relationships/worksheet"/>
<Relationship Id="rId43" Target="worksheets/sheet43.xml" Type="http://schemas.openxmlformats.org/officeDocument/2006/relationships/worksheet"/>
<Relationship Id="rId44" Target="worksheets/sheet44.xml" Type="http://schemas.openxmlformats.org/officeDocument/2006/relationships/worksheet"/>
<Relationship Id="rId45" Target="worksheets/sheet45.xml" Type="http://schemas.openxmlformats.org/officeDocument/2006/relationships/worksheet"/>
<Relationship Id="rId46" Target="worksheets/sheet46.xml" Type="http://schemas.openxmlformats.org/officeDocument/2006/relationships/worksheet"/>
<Relationship Id="rId47" Target="worksheets/sheet47.xml" Type="http://schemas.openxmlformats.org/officeDocument/2006/relationships/worksheet"/>
<Relationship Id="rId48" Target="worksheets/sheet48.xml" Type="http://schemas.openxmlformats.org/officeDocument/2006/relationships/worksheet"/>
<Relationship Id="rId49" Target="worksheets/sheet49.xml" Type="http://schemas.openxmlformats.org/officeDocument/2006/relationships/worksheet"/>
<Relationship Id="rId5" Target="worksheets/sheet5.xml" Type="http://schemas.openxmlformats.org/officeDocument/2006/relationships/worksheet"/>
<Relationship Id="rId50" Target="worksheets/sheet50.xml" Type="http://schemas.openxmlformats.org/officeDocument/2006/relationships/worksheet"/>
<Relationship Id="rId51" Target="worksheets/sheet51.xml" Type="http://schemas.openxmlformats.org/officeDocument/2006/relationships/worksheet"/>
<Relationship Id="rId52" Target="worksheets/sheet52.xml" Type="http://schemas.openxmlformats.org/officeDocument/2006/relationships/worksheet"/>
<Relationship Id="rId53" Target="worksheets/sheet53.xml" Type="http://schemas.openxmlformats.org/officeDocument/2006/relationships/worksheet"/>
<Relationship Id="rId54" Target="worksheets/sheet54.xml" Type="http://schemas.openxmlformats.org/officeDocument/2006/relationships/worksheet"/>
<Relationship Id="rId55" Target="worksheets/sheet55.xml" Type="http://schemas.openxmlformats.org/officeDocument/2006/relationships/worksheet"/>
<Relationship Id="rId56" Target="worksheets/sheet56.xml" Type="http://schemas.openxmlformats.org/officeDocument/2006/relationships/worksheet"/>
<Relationship Id="rId57" Target="worksheets/sheet57.xml" Type="http://schemas.openxmlformats.org/officeDocument/2006/relationships/worksheet"/>
<Relationship Id="rId58" Target="worksheets/sheet58.xml" Type="http://schemas.openxmlformats.org/officeDocument/2006/relationships/worksheet"/>
<Relationship Id="rId59" Target="worksheets/sheet59.xml" Type="http://schemas.openxmlformats.org/officeDocument/2006/relationships/worksheet"/>
<Relationship Id="rId6" Target="worksheets/sheet6.xml" Type="http://schemas.openxmlformats.org/officeDocument/2006/relationships/worksheet"/>
<Relationship Id="rId60" Target="worksheets/sheet60.xml" Type="http://schemas.openxmlformats.org/officeDocument/2006/relationships/worksheet"/>
<Relationship Id="rId61" Target="worksheets/sheet61.xml" Type="http://schemas.openxmlformats.org/officeDocument/2006/relationships/worksheet"/>
<Relationship Id="rId62" Target="worksheets/sheet62.xml" Type="http://schemas.openxmlformats.org/officeDocument/2006/relationships/worksheet"/>
<Relationship Id="rId63" Target="worksheets/sheet63.xml" Type="http://schemas.openxmlformats.org/officeDocument/2006/relationships/worksheet"/>
<Relationship Id="rId64" Target="worksheets/sheet64.xml" Type="http://schemas.openxmlformats.org/officeDocument/2006/relationships/worksheet"/>
<Relationship Id="rId65" Target="worksheets/sheet65.xml" Type="http://schemas.openxmlformats.org/officeDocument/2006/relationships/worksheet"/>
<Relationship Id="rId66" Target="worksheets/sheet66.xml" Type="http://schemas.openxmlformats.org/officeDocument/2006/relationships/worksheet"/>
<Relationship Id="rId67" Target="worksheets/sheet67.xml" Type="http://schemas.openxmlformats.org/officeDocument/2006/relationships/worksheet"/>
<Relationship Id="rId68" Target="worksheets/sheet68.xml" Type="http://schemas.openxmlformats.org/officeDocument/2006/relationships/worksheet"/>
<Relationship Id="rId69" Target="worksheets/sheet69.xml" Type="http://schemas.openxmlformats.org/officeDocument/2006/relationships/worksheet"/>
<Relationship Id="rId7" Target="worksheets/sheet7.xml" Type="http://schemas.openxmlformats.org/officeDocument/2006/relationships/worksheet"/>
<Relationship Id="rId70" Target="theme/theme1.xml" Type="http://schemas.openxmlformats.org/officeDocument/2006/relationships/theme"/>
<Relationship Id="rId71" Target="styles.xml" Type="http://schemas.openxmlformats.org/officeDocument/2006/relationships/styles"/>
<Relationship Id="rId72" Target="sharedStrings.xml" Type="http://schemas.openxmlformats.org/officeDocument/2006/relationships/sharedStrings"/>
<Relationship Id="rId73" Target="calcChain.xml" Type="http://schemas.openxmlformats.org/officeDocument/2006/relationships/calcChain"/>
<Relationship Id="rId8" Target="worksheets/sheet8.xml" Type="http://schemas.openxmlformats.org/officeDocument/2006/relationships/worksheet"/>
<Relationship Id="rId9" Target="worksheets/sheet9.xml" Type="http://schemas.openxmlformats.org/officeDocument/2006/relationships/worksheet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10.xml.rels><?xml version="1.0" encoding="UTF-8" standalone="no"?>
<Relationships xmlns="http://schemas.openxmlformats.org/package/2006/relationships">
<Relationship Id="rId1" Target="style9.xml" Type="http://schemas.microsoft.com/office/2011/relationships/chartStyle"/>
<Relationship Id="rId2" Target="colors9.xml" Type="http://schemas.microsoft.com/office/2011/relationships/chartColorStyle"/>
</Relationships>

</file>

<file path=xl/charts/_rels/chart11.xml.rels><?xml version="1.0" encoding="UTF-8" standalone="no"?>
<Relationships xmlns="http://schemas.openxmlformats.org/package/2006/relationships">
<Relationship Id="rId1" Target="style10.xml" Type="http://schemas.microsoft.com/office/2011/relationships/chartStyle"/>
<Relationship Id="rId2" Target="colors10.xml" Type="http://schemas.microsoft.com/office/2011/relationships/chartColorStyle"/>
</Relationships>

</file>

<file path=xl/charts/_rels/chart12.xml.rels><?xml version="1.0" encoding="UTF-8" standalone="no"?>
<Relationships xmlns="http://schemas.openxmlformats.org/package/2006/relationships">
<Relationship Id="rId1" Target="style11.xml" Type="http://schemas.microsoft.com/office/2011/relationships/chartStyle"/>
<Relationship Id="rId2" Target="colors11.xml" Type="http://schemas.microsoft.com/office/2011/relationships/chartColorStyle"/>
</Relationships>

</file>

<file path=xl/charts/_rels/chart13.xml.rels><?xml version="1.0" encoding="UTF-8" standalone="no"?>
<Relationships xmlns="http://schemas.openxmlformats.org/package/2006/relationships">
<Relationship Id="rId1" Target="style12.xml" Type="http://schemas.microsoft.com/office/2011/relationships/chartStyle"/>
<Relationship Id="rId2" Target="colors12.xml" Type="http://schemas.microsoft.com/office/2011/relationships/chartColorStyle"/>
</Relationships>

</file>

<file path=xl/charts/_rels/chart14.xml.rels><?xml version="1.0" encoding="UTF-8" standalone="no"?>
<Relationships xmlns="http://schemas.openxmlformats.org/package/2006/relationships">
<Relationship Id="rId1" Target="style13.xml" Type="http://schemas.microsoft.com/office/2011/relationships/chartStyle"/>
<Relationship Id="rId2" Target="colors13.xml" Type="http://schemas.microsoft.com/office/2011/relationships/chartColorStyle"/>
</Relationships>

</file>

<file path=xl/charts/_rels/chart15.xml.rels><?xml version="1.0" encoding="UTF-8" standalone="no"?>
<Relationships xmlns="http://schemas.openxmlformats.org/package/2006/relationships">
<Relationship Id="rId1" Target="style14.xml" Type="http://schemas.microsoft.com/office/2011/relationships/chartStyle"/>
<Relationship Id="rId2" Target="colors14.xml" Type="http://schemas.microsoft.com/office/2011/relationships/chartColorStyle"/>
</Relationships>

</file>

<file path=xl/charts/_rels/chart16.xml.rels><?xml version="1.0" encoding="UTF-8" standalone="no"?>
<Relationships xmlns="http://schemas.openxmlformats.org/package/2006/relationships">
<Relationship Id="rId1" Target="style15.xml" Type="http://schemas.microsoft.com/office/2011/relationships/chartStyle"/>
<Relationship Id="rId2" Target="colors15.xml" Type="http://schemas.microsoft.com/office/2011/relationships/chartColorStyle"/>
</Relationships>

</file>

<file path=xl/charts/_rels/chart17.xml.rels><?xml version="1.0" encoding="UTF-8" standalone="no"?>
<Relationships xmlns="http://schemas.openxmlformats.org/package/2006/relationships">
<Relationship Id="rId1" Target="../drawings/drawing20.xml" Type="http://schemas.openxmlformats.org/officeDocument/2006/relationships/chartUserShapes"/>
</Relationships>

</file>

<file path=xl/charts/_rels/chart18.xml.rels><?xml version="1.0" encoding="UTF-8" standalone="no"?>
<Relationships xmlns="http://schemas.openxmlformats.org/package/2006/relationships">
<Relationship Id="rId1" Target="style16.xml" Type="http://schemas.microsoft.com/office/2011/relationships/chartStyle"/>
<Relationship Id="rId2" Target="colors16.xml" Type="http://schemas.microsoft.com/office/2011/relationships/chartColorStyle"/>
</Relationships>

</file>

<file path=xl/charts/_rels/chart19.xml.rels><?xml version="1.0" encoding="UTF-8" standalone="no"?>
<Relationships xmlns="http://schemas.openxmlformats.org/package/2006/relationships">
<Relationship Id="rId1" Target="style17.xml" Type="http://schemas.microsoft.com/office/2011/relationships/chartStyle"/>
<Relationship Id="rId2" Target="colors17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20.xml.rels><?xml version="1.0" encoding="UTF-8" standalone="no"?>
<Relationships xmlns="http://schemas.openxmlformats.org/package/2006/relationships">
<Relationship Id="rId1" Target="style18.xml" Type="http://schemas.microsoft.com/office/2011/relationships/chartStyle"/>
<Relationship Id="rId2" Target="colors18.xml" Type="http://schemas.microsoft.com/office/2011/relationships/chartColorStyle"/>
</Relationships>

</file>

<file path=xl/charts/_rels/chart21.xml.rels><?xml version="1.0" encoding="UTF-8" standalone="no"?>
<Relationships xmlns="http://schemas.openxmlformats.org/package/2006/relationships">
<Relationship Id="rId1" Target="style19.xml" Type="http://schemas.microsoft.com/office/2011/relationships/chartStyle"/>
<Relationship Id="rId2" Target="colors19.xml" Type="http://schemas.microsoft.com/office/2011/relationships/chartColorStyle"/>
</Relationships>

</file>

<file path=xl/charts/_rels/chart22.xml.rels><?xml version="1.0" encoding="UTF-8" standalone="no"?>
<Relationships xmlns="http://schemas.openxmlformats.org/package/2006/relationships">
<Relationship Id="rId1" Target="style20.xml" Type="http://schemas.microsoft.com/office/2011/relationships/chartStyle"/>
<Relationship Id="rId2" Target="colors20.xml" Type="http://schemas.microsoft.com/office/2011/relationships/chartColorStyle"/>
</Relationships>

</file>

<file path=xl/charts/_rels/chart23.xml.rels><?xml version="1.0" encoding="UTF-8" standalone="no"?>
<Relationships xmlns="http://schemas.openxmlformats.org/package/2006/relationships">
<Relationship Id="rId1" Target="style21.xml" Type="http://schemas.microsoft.com/office/2011/relationships/chartStyle"/>
<Relationship Id="rId2" Target="colors21.xml" Type="http://schemas.microsoft.com/office/2011/relationships/chartColorStyle"/>
</Relationships>

</file>

<file path=xl/charts/_rels/chart24.xml.rels><?xml version="1.0" encoding="UTF-8" standalone="no"?>
<Relationships xmlns="http://schemas.openxmlformats.org/package/2006/relationships">
<Relationship Id="rId1" Target="style22.xml" Type="http://schemas.microsoft.com/office/2011/relationships/chartStyle"/>
<Relationship Id="rId2" Target="colors22.xml" Type="http://schemas.microsoft.com/office/2011/relationships/chartColorStyle"/>
</Relationships>

</file>

<file path=xl/charts/_rels/chart25.xml.rels><?xml version="1.0" encoding="UTF-8" standalone="no"?>
<Relationships xmlns="http://schemas.openxmlformats.org/package/2006/relationships">
<Relationship Id="rId1" Target="style23.xml" Type="http://schemas.microsoft.com/office/2011/relationships/chartStyle"/>
<Relationship Id="rId2" Target="colors23.xml" Type="http://schemas.microsoft.com/office/2011/relationships/chartColorStyle"/>
</Relationships>

</file>

<file path=xl/charts/_rels/chart26.xml.rels><?xml version="1.0" encoding="UTF-8" standalone="no"?>
<Relationships xmlns="http://schemas.openxmlformats.org/package/2006/relationships">
<Relationship Id="rId1" Target="style24.xml" Type="http://schemas.microsoft.com/office/2011/relationships/chartStyle"/>
<Relationship Id="rId2" Target="colors24.xml" Type="http://schemas.microsoft.com/office/2011/relationships/chartColorStyle"/>
</Relationships>

</file>

<file path=xl/charts/_rels/chart27.xml.rels><?xml version="1.0" encoding="UTF-8" standalone="no"?>
<Relationships xmlns="http://schemas.openxmlformats.org/package/2006/relationships">
<Relationship Id="rId1" Target="style25.xml" Type="http://schemas.microsoft.com/office/2011/relationships/chartStyle"/>
<Relationship Id="rId2" Target="colors25.xml" Type="http://schemas.microsoft.com/office/2011/relationships/chartColorStyle"/>
</Relationships>

</file>

<file path=xl/charts/_rels/chart28.xml.rels><?xml version="1.0" encoding="UTF-8" standalone="no"?>
<Relationships xmlns="http://schemas.openxmlformats.org/package/2006/relationships">
<Relationship Id="rId1" Target="style26.xml" Type="http://schemas.microsoft.com/office/2011/relationships/chartStyle"/>
<Relationship Id="rId2" Target="colors26.xml" Type="http://schemas.microsoft.com/office/2011/relationships/chartColorStyle"/>
</Relationships>

</file>

<file path=xl/charts/_rels/chart29.xml.rels><?xml version="1.0" encoding="UTF-8" standalone="no"?>
<Relationships xmlns="http://schemas.openxmlformats.org/package/2006/relationships">
<Relationship Id="rId1" Target="style27.xml" Type="http://schemas.microsoft.com/office/2011/relationships/chartStyle"/>
<Relationship Id="rId2" Target="colors27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30.xml.rels><?xml version="1.0" encoding="UTF-8" standalone="no"?>
<Relationships xmlns="http://schemas.openxmlformats.org/package/2006/relationships">
<Relationship Id="rId1" Target="style28.xml" Type="http://schemas.microsoft.com/office/2011/relationships/chartStyle"/>
<Relationship Id="rId2" Target="colors28.xml" Type="http://schemas.microsoft.com/office/2011/relationships/chartColorStyle"/>
</Relationships>

</file>

<file path=xl/charts/_rels/chart31.xml.rels><?xml version="1.0" encoding="UTF-8" standalone="no"?>
<Relationships xmlns="http://schemas.openxmlformats.org/package/2006/relationships">
<Relationship Id="rId1" Target="style29.xml" Type="http://schemas.microsoft.com/office/2011/relationships/chartStyle"/>
<Relationship Id="rId2" Target="colors29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../drawings/drawing9.xml" Type="http://schemas.openxmlformats.org/officeDocument/2006/relationships/chartUserShapes"/>
</Relationships>

</file>

<file path=xl/charts/_rels/chart8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9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Variación porcentual del Producto Interno Bruto por actividad</a:t>
            </a:r>
            <a:r>
              <a:rPr lang="es-CR" b="1" baseline="0"/>
              <a:t> económica, 2017 - 2018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2104759563664839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9-442B-97DB-46431036496F}"/>
                </c:ext>
              </c:extLst>
            </c:dLbl>
            <c:dLbl>
              <c:idx val="2"/>
              <c:layout>
                <c:manualLayout>
                  <c:x val="-2.6132956945336516E-2"/>
                  <c:y val="-2.5740025740025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A9-442B-97DB-46431036496F}"/>
                </c:ext>
              </c:extLst>
            </c:dLbl>
            <c:dLbl>
              <c:idx val="3"/>
              <c:layout>
                <c:manualLayout>
                  <c:x val="-2.5166189573735308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9-442B-97DB-46431036496F}"/>
                </c:ext>
              </c:extLst>
            </c:dLbl>
            <c:dLbl>
              <c:idx val="4"/>
              <c:layout>
                <c:manualLayout>
                  <c:x val="-2.076202710310758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9-442B-97DB-46431036496F}"/>
                </c:ext>
              </c:extLst>
            </c:dLbl>
            <c:dLbl>
              <c:idx val="5"/>
              <c:layout>
                <c:manualLayout>
                  <c:x val="-1.9419294642550395E-2"/>
                  <c:y val="-3.0888030888030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A9-442B-97DB-46431036496F}"/>
                </c:ext>
              </c:extLst>
            </c:dLbl>
            <c:dLbl>
              <c:idx val="6"/>
              <c:layout>
                <c:manualLayout>
                  <c:x val="-2.076202710310758E-2"/>
                  <c:y val="-3.6036036036036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9-442B-97DB-46431036496F}"/>
                </c:ext>
              </c:extLst>
            </c:dLbl>
            <c:dLbl>
              <c:idx val="7"/>
              <c:layout>
                <c:manualLayout>
                  <c:x val="-2.2104759563664814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A9-442B-97DB-46431036496F}"/>
                </c:ext>
              </c:extLst>
            </c:dLbl>
            <c:dLbl>
              <c:idx val="8"/>
              <c:layout>
                <c:manualLayout>
                  <c:x val="-2.2104759563664814E-2"/>
                  <c:y val="-2.574002574002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A9-442B-97DB-46431036496F}"/>
                </c:ext>
              </c:extLst>
            </c:dLbl>
            <c:dLbl>
              <c:idx val="9"/>
              <c:layout>
                <c:manualLayout>
                  <c:x val="-2.2104759563664814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A9-442B-97DB-46431036496F}"/>
                </c:ext>
              </c:extLst>
            </c:dLbl>
            <c:dLbl>
              <c:idx val="10"/>
              <c:layout>
                <c:manualLayout>
                  <c:x val="-2.0762027103107678E-2"/>
                  <c:y val="-3.603603603603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A9-442B-97DB-46431036496F}"/>
                </c:ext>
              </c:extLst>
            </c:dLbl>
            <c:dLbl>
              <c:idx val="11"/>
              <c:layout>
                <c:manualLayout>
                  <c:x val="-2.210475956366491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A9-442B-97DB-46431036496F}"/>
                </c:ext>
              </c:extLst>
            </c:dLbl>
            <c:dLbl>
              <c:idx val="12"/>
              <c:layout>
                <c:manualLayout>
                  <c:x val="-1.807656218199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A9-442B-97DB-46431036496F}"/>
                </c:ext>
              </c:extLst>
            </c:dLbl>
            <c:dLbl>
              <c:idx val="13"/>
              <c:layout>
                <c:manualLayout>
                  <c:x val="-2.3447492024222048E-2"/>
                  <c:y val="-2.831402831402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A9-442B-97DB-46431036496F}"/>
                </c:ext>
              </c:extLst>
            </c:dLbl>
            <c:dLbl>
              <c:idx val="14"/>
              <c:layout>
                <c:manualLayout>
                  <c:x val="-2.2104759563664814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A9-442B-97DB-4643103649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'c1 '!$B$33:$B$47</c:f>
              <c:strCache>
                <c:ptCount val="15"/>
                <c:pt idx="0">
                  <c:v>   Agricultura, silvicultura y pesca </c:v>
                </c:pt>
                <c:pt idx="1">
                  <c:v>   Minas y canteras </c:v>
                </c:pt>
                <c:pt idx="2">
                  <c:v>   Manufactura</c:v>
                </c:pt>
                <c:pt idx="3">
                  <c:v>   Electricidad, agua y servicios de saneamiento </c:v>
                </c:pt>
                <c:pt idx="4">
                  <c:v>   Construcción</c:v>
                </c:pt>
                <c:pt idx="5">
                  <c:v>   Comercio al por mayor y al por menor, reparación de vehículos </c:v>
                </c:pt>
                <c:pt idx="6">
                  <c:v>   Transporte y almacenamiento </c:v>
                </c:pt>
                <c:pt idx="7">
                  <c:v>    Actividades de alojamiento y servicios de comida </c:v>
                </c:pt>
                <c:pt idx="8">
                  <c:v>    Información y comunicaciones </c:v>
                </c:pt>
                <c:pt idx="9">
                  <c:v>    Actividades financieras y de seguros </c:v>
                </c:pt>
                <c:pt idx="10">
                  <c:v>    Actividades inmobiliarias </c:v>
                </c:pt>
                <c:pt idx="11">
                  <c:v>    Actividades profesionales, científicas, técnicas, administrativas y servicios de apoyo</c:v>
                </c:pt>
                <c:pt idx="12">
                  <c:v>    Administración pública y planes de seguridad social de afiliación obligatoria </c:v>
                </c:pt>
                <c:pt idx="13">
                  <c:v>    Enseñanza y actividades de la salud humana y de asistencia social </c:v>
                </c:pt>
                <c:pt idx="14">
                  <c:v>    Otras actividades </c:v>
                </c:pt>
              </c:strCache>
            </c:strRef>
          </c:cat>
          <c:val>
            <c:numRef>
              <c:f>'c1 '!$C$33:$C$47</c:f>
              <c:numCache>
                <c:formatCode>0.00</c:formatCode>
                <c:ptCount val="15"/>
                <c:pt idx="0">
                  <c:v>-4.1611281109776712</c:v>
                </c:pt>
                <c:pt idx="1">
                  <c:v>4.9876560064621032</c:v>
                </c:pt>
                <c:pt idx="2">
                  <c:v>6.028960320043665</c:v>
                </c:pt>
                <c:pt idx="3">
                  <c:v>10.360415251520909</c:v>
                </c:pt>
                <c:pt idx="4">
                  <c:v>9.178686663303143</c:v>
                </c:pt>
                <c:pt idx="5">
                  <c:v>5.9669515263379198</c:v>
                </c:pt>
                <c:pt idx="6">
                  <c:v>4.5129866502229898</c:v>
                </c:pt>
                <c:pt idx="7">
                  <c:v>6.1832854249937519</c:v>
                </c:pt>
                <c:pt idx="8">
                  <c:v>6.2726791453216784</c:v>
                </c:pt>
                <c:pt idx="9">
                  <c:v>6.9839490326503038</c:v>
                </c:pt>
                <c:pt idx="10">
                  <c:v>3.9097884704113128</c:v>
                </c:pt>
                <c:pt idx="11">
                  <c:v>6.1729152387413055</c:v>
                </c:pt>
                <c:pt idx="12">
                  <c:v>4.0463108629146118</c:v>
                </c:pt>
                <c:pt idx="13">
                  <c:v>3.8585248393186209</c:v>
                </c:pt>
                <c:pt idx="14">
                  <c:v>5.3373665597841766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A9-442B-97DB-46431036496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viviendas ocupadas por procedencia del agua según región,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'c19'!$B$13</c:f>
              <c:strCache>
                <c:ptCount val="1"/>
                <c:pt idx="0">
                  <c:v> Central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'c19'!$D$5:$F$5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'c19'!$D$14:$F$14</c:f>
              <c:numCache>
                <c:formatCode>#,##0</c:formatCode>
                <c:ptCount val="3"/>
                <c:pt idx="0">
                  <c:v>553259</c:v>
                </c:pt>
                <c:pt idx="1">
                  <c:v>382091</c:v>
                </c:pt>
                <c:pt idx="2">
                  <c:v>14110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58-47FF-B4DF-AD3649F43BA0}"/>
            </c:ext>
          </c:extLst>
        </c:ser>
        <c:ser>
          <c:idx val="1"/>
          <c:order val="1"/>
          <c:tx>
            <c:strRef>
              <c:f>'c19'!$B$17</c:f>
              <c:strCache>
                <c:ptCount val="1"/>
                <c:pt idx="0">
                  <c:v> Chorotega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'c19'!$D$5:$F$5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'c19'!$D$18:$F$18</c:f>
              <c:numCache>
                <c:formatCode>#,##0</c:formatCode>
                <c:ptCount val="3"/>
                <c:pt idx="0">
                  <c:v>71359</c:v>
                </c:pt>
                <c:pt idx="1">
                  <c:v>41080</c:v>
                </c:pt>
                <c:pt idx="2">
                  <c:v>5779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58-47FF-B4DF-AD3649F43BA0}"/>
            </c:ext>
          </c:extLst>
        </c:ser>
        <c:ser>
          <c:idx val="2"/>
          <c:order val="2"/>
          <c:tx>
            <c:strRef>
              <c:f>'c19'!$B$21</c:f>
              <c:strCache>
                <c:ptCount val="1"/>
                <c:pt idx="0">
                  <c:v> Pacífico Central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strRef>
              <c:f>'c19'!$D$5:$F$5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'c19'!$D$22:$F$22</c:f>
              <c:numCache>
                <c:formatCode>#,##0</c:formatCode>
                <c:ptCount val="3"/>
                <c:pt idx="0">
                  <c:v>56761</c:v>
                </c:pt>
                <c:pt idx="1">
                  <c:v>31603</c:v>
                </c:pt>
                <c:pt idx="2">
                  <c:v>3906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58-47FF-B4DF-AD3649F43BA0}"/>
            </c:ext>
          </c:extLst>
        </c:ser>
        <c:ser>
          <c:idx val="3"/>
          <c:order val="3"/>
          <c:tx>
            <c:strRef>
              <c:f>'c19'!$B$25</c:f>
              <c:strCache>
                <c:ptCount val="1"/>
                <c:pt idx="0">
                  <c:v> Brunca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/>
              </a:contourClr>
            </a:sp3d>
          </c:spPr>
          <c:invertIfNegative val="0"/>
          <c:cat>
            <c:strRef>
              <c:f>'c19'!$D$5:$F$5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'c19'!$D$26:$F$26</c:f>
              <c:numCache>
                <c:formatCode>#,##0</c:formatCode>
                <c:ptCount val="3"/>
                <c:pt idx="0">
                  <c:v>79680</c:v>
                </c:pt>
                <c:pt idx="1">
                  <c:v>32748</c:v>
                </c:pt>
                <c:pt idx="2">
                  <c:v>11020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58-47FF-B4DF-AD3649F43BA0}"/>
            </c:ext>
          </c:extLst>
        </c:ser>
        <c:ser>
          <c:idx val="4"/>
          <c:order val="4"/>
          <c:tx>
            <c:strRef>
              <c:f>'c19'!$B$29</c:f>
              <c:strCache>
                <c:ptCount val="1"/>
                <c:pt idx="0">
                  <c:v> Huetar Caribe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strRef>
              <c:f>'c19'!$D$5:$F$5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'c19'!$D$30:$F$30</c:f>
              <c:numCache>
                <c:formatCode>#,##0</c:formatCode>
                <c:ptCount val="3"/>
                <c:pt idx="0">
                  <c:v>92028</c:v>
                </c:pt>
                <c:pt idx="1">
                  <c:v>26803</c:v>
                </c:pt>
                <c:pt idx="2">
                  <c:v>18635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758-47FF-B4DF-AD3649F43BA0}"/>
            </c:ext>
          </c:extLst>
        </c:ser>
        <c:ser>
          <c:idx val="5"/>
          <c:order val="5"/>
          <c:tx>
            <c:strRef>
              <c:f>'c19'!$B$33</c:f>
              <c:strCache>
                <c:ptCount val="1"/>
                <c:pt idx="0">
                  <c:v> Huetar Norte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/>
              </a:contourClr>
            </a:sp3d>
          </c:spPr>
          <c:invertIfNegative val="0"/>
          <c:cat>
            <c:strRef>
              <c:f>'c19'!$D$5:$F$5</c:f>
              <c:strCache>
                <c:ptCount val="3"/>
                <c:pt idx="0">
                  <c:v>Acueducto A y A</c:v>
                </c:pt>
                <c:pt idx="1">
                  <c:v>Acueducto Rural o Municipal, Empresa o Cooperativa</c:v>
                </c:pt>
                <c:pt idx="2">
                  <c:v>No tiene 1/ </c:v>
                </c:pt>
              </c:strCache>
            </c:strRef>
          </c:cat>
          <c:val>
            <c:numRef>
              <c:f>'c19'!$D$34:$F$34</c:f>
              <c:numCache>
                <c:formatCode>#,##0</c:formatCode>
                <c:ptCount val="3"/>
                <c:pt idx="0">
                  <c:v>31905</c:v>
                </c:pt>
                <c:pt idx="1">
                  <c:v>76420</c:v>
                </c:pt>
                <c:pt idx="2">
                  <c:v>10842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58-47FF-B4DF-AD3649F43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09317648"/>
        <c:axId val="909324864"/>
        <c:axId val="0"/>
      </c:bar3DChart>
      <c:catAx>
        <c:axId val="9093176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09324864"/>
        <c:crosses val="autoZero"/>
        <c:auto val="1"/>
        <c:lblAlgn val="ctr"/>
        <c:lblOffset val="100"/>
        <c:noMultiLvlLbl val="0"/>
      </c:catAx>
      <c:valAx>
        <c:axId val="909324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90931764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viviendas ocupadas por tipo de abastecimiento de agua según región,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'c20'!$D$5:$D$6</c:f>
              <c:strCache>
                <c:ptCount val="2"/>
                <c:pt idx="0">
                  <c:v>Tubería dentro de la vivienda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('c20'!$B$14,'c20'!$B$18,'c20'!$B$22,'c20'!$B$26,'c20'!$B$30,'c20'!$B$34)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('c20'!$D$15,'c20'!$D$19,'c20'!$D$23,'c20'!$D$27,'c20'!$D$31,'c20'!$D$35)</c:f>
              <c:numCache>
                <c:formatCode>#,##0</c:formatCode>
                <c:ptCount val="6"/>
                <c:pt idx="0">
                  <c:v>938439</c:v>
                </c:pt>
                <c:pt idx="1">
                  <c:v>113284</c:v>
                </c:pt>
                <c:pt idx="2">
                  <c:v>89733</c:v>
                </c:pt>
                <c:pt idx="3">
                  <c:v>115997</c:v>
                </c:pt>
                <c:pt idx="4">
                  <c:v>130799</c:v>
                </c:pt>
                <c:pt idx="5">
                  <c:v>117273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C-4C67-909C-356E3BB91DE5}"/>
            </c:ext>
          </c:extLst>
        </c:ser>
        <c:ser>
          <c:idx val="1"/>
          <c:order val="1"/>
          <c:tx>
            <c:strRef>
              <c:f>'c20'!$E$5:$E$6</c:f>
              <c:strCache>
                <c:ptCount val="2"/>
                <c:pt idx="0">
                  <c:v>Tubería fuera de la vivienda 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('c20'!$B$14,'c20'!$B$18,'c20'!$B$22,'c20'!$B$26,'c20'!$B$30,'c20'!$B$34)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('c20'!$E$15,'c20'!$E$19,'c20'!$E$23,'c20'!$E$27,'c20'!$E$31,'c20'!$E$35)</c:f>
              <c:numCache>
                <c:formatCode>#,##0</c:formatCode>
                <c:ptCount val="6"/>
                <c:pt idx="0">
                  <c:v>10368</c:v>
                </c:pt>
                <c:pt idx="1">
                  <c:v>3959</c:v>
                </c:pt>
                <c:pt idx="2">
                  <c:v>1556</c:v>
                </c:pt>
                <c:pt idx="3">
                  <c:v>6986</c:v>
                </c:pt>
                <c:pt idx="4">
                  <c:v>4416</c:v>
                </c:pt>
                <c:pt idx="5">
                  <c:v>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C-4C67-909C-356E3BB91DE5}"/>
            </c:ext>
          </c:extLst>
        </c:ser>
        <c:ser>
          <c:idx val="2"/>
          <c:order val="2"/>
          <c:tx>
            <c:strRef>
              <c:f>'c20'!$F$5:$F$6</c:f>
              <c:strCache>
                <c:ptCount val="2"/>
                <c:pt idx="0">
                  <c:v>No tiene tubería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strRef>
              <c:f>('c20'!$B$14,'c20'!$B$18,'c20'!$B$22,'c20'!$B$26,'c20'!$B$30,'c20'!$B$34)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('c20'!$F$15,'c20'!$F$19,'c20'!$F$23,'c20'!$F$27,'c20'!$F$31,'c20'!$F$35)</c:f>
              <c:numCache>
                <c:formatCode>#,##0</c:formatCode>
                <c:ptCount val="6"/>
                <c:pt idx="0">
                  <c:v>653</c:v>
                </c:pt>
                <c:pt idx="1">
                  <c:v>975</c:v>
                </c:pt>
                <c:pt idx="2">
                  <c:v>981</c:v>
                </c:pt>
                <c:pt idx="3">
                  <c:v>465</c:v>
                </c:pt>
                <c:pt idx="4">
                  <c:v>2251</c:v>
                </c:pt>
                <c:pt idx="5">
                  <c:v>1003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C-4C67-909C-356E3BB91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4294176"/>
        <c:axId val="644294504"/>
        <c:axId val="0"/>
      </c:bar3DChart>
      <c:catAx>
        <c:axId val="6442941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4294504"/>
        <c:crosses val="autoZero"/>
        <c:auto val="1"/>
        <c:lblAlgn val="ctr"/>
        <c:lblOffset val="100"/>
        <c:noMultiLvlLbl val="0"/>
      </c:catAx>
      <c:valAx>
        <c:axId val="644294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42941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viviendas por sistema de eliminación de basura,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8.7912087912087773E-3"/>
                  <c:y val="-3.71919982733541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88,9%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86-4819-8D7C-2C15E0FBF82F}"/>
                </c:ext>
              </c:extLst>
            </c:dLbl>
            <c:dLbl>
              <c:idx val="1"/>
              <c:layout>
                <c:manualLayout>
                  <c:x val="1.4652014652014652E-2"/>
                  <c:y val="-1.11575994820062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2,6%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86-4819-8D7C-2C15E0FBF82F}"/>
                </c:ext>
              </c:extLst>
            </c:dLbl>
            <c:dLbl>
              <c:idx val="2"/>
              <c:layout>
                <c:manualLayout>
                  <c:x val="1.7582417582417582E-2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8,0%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86-4819-8D7C-2C15E0FBF82F}"/>
                </c:ext>
              </c:extLst>
            </c:dLbl>
            <c:dLbl>
              <c:idx val="3"/>
              <c:layout>
                <c:manualLayout>
                  <c:x val="1.7582417582417582E-2"/>
                  <c:y val="-3.71919982733541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86-4819-8D7C-2C15E0FBF82F}"/>
                </c:ext>
              </c:extLst>
            </c:dLbl>
            <c:dLbl>
              <c:idx val="4"/>
              <c:layout>
                <c:manualLayout>
                  <c:x val="1.7582417582417582E-2"/>
                  <c:y val="-3.71919982733541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0,1%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86-4819-8D7C-2C15E0FBF82F}"/>
                </c:ext>
              </c:extLst>
            </c:dLbl>
            <c:dLbl>
              <c:idx val="5"/>
              <c:layout>
                <c:manualLayout>
                  <c:x val="1.4652014652014544E-2"/>
                  <c:y val="-3.719199827335415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0,2%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86-4819-8D7C-2C15E0FBF8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'c21'!$B$7:$B$12</c:f>
              <c:strCache>
                <c:ptCount val="6"/>
                <c:pt idx="0">
                  <c:v>  Camión recolector</c:v>
                </c:pt>
                <c:pt idx="1">
                  <c:v>  Se bota en hueco o se entierra</c:v>
                </c:pt>
                <c:pt idx="2">
                  <c:v>  Se quema</c:v>
                </c:pt>
                <c:pt idx="3">
                  <c:v>  Se bota en lote baldío</c:v>
                </c:pt>
                <c:pt idx="4">
                  <c:v>  Se bota en río, quebrada o mar</c:v>
                </c:pt>
                <c:pt idx="5">
                  <c:v>  Otro</c:v>
                </c:pt>
              </c:strCache>
            </c:strRef>
          </c:cat>
          <c:val>
            <c:numRef>
              <c:f>'c21'!$D$7:$D$12</c:f>
              <c:numCache>
                <c:formatCode>0.0%</c:formatCode>
                <c:ptCount val="6"/>
                <c:pt idx="0">
                  <c:v>0.88919819042368686</c:v>
                </c:pt>
                <c:pt idx="1">
                  <c:v>2.5857954622932427E-2</c:v>
                </c:pt>
                <c:pt idx="2">
                  <c:v>8.0253683534530842E-2</c:v>
                </c:pt>
                <c:pt idx="3">
                  <c:v>1.6506182675780781E-3</c:v>
                </c:pt>
                <c:pt idx="4">
                  <c:v>9.8504638549014333E-4</c:v>
                </c:pt>
                <c:pt idx="5">
                  <c:v>2.0545067657816835E-3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6-4819-8D7C-2C15E0FBF8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64565360"/>
        <c:axId val="464556504"/>
        <c:axId val="0"/>
      </c:bar3DChart>
      <c:catAx>
        <c:axId val="46456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64556504"/>
        <c:crosses val="autoZero"/>
        <c:auto val="1"/>
        <c:lblAlgn val="ctr"/>
        <c:lblOffset val="100"/>
        <c:noMultiLvlLbl val="0"/>
      </c:catAx>
      <c:valAx>
        <c:axId val="464556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6456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viviendas ocupadas por conexión del servicio sanitario según región,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'c22'!$D$5</c:f>
              <c:strCache>
                <c:ptCount val="1"/>
                <c:pt idx="0">
                  <c:v>Alcantarilla o Cloaca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('c22'!$B$13,'c22'!$B$17,'c22'!$B$21,'c22'!$B$25,'c22'!$B$29,'c22'!$B$33)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('c22'!$D$14,'c22'!$D$18,'c22'!$D$22,'c22'!$D$26,'c22'!$D$30,'c22'!$D$34)</c:f>
              <c:numCache>
                <c:formatCode>#,##0</c:formatCode>
                <c:ptCount val="6"/>
                <c:pt idx="0">
                  <c:v>300267</c:v>
                </c:pt>
                <c:pt idx="1">
                  <c:v>12111</c:v>
                </c:pt>
                <c:pt idx="2">
                  <c:v>11845</c:v>
                </c:pt>
                <c:pt idx="3">
                  <c:v>8962</c:v>
                </c:pt>
                <c:pt idx="4">
                  <c:v>14244</c:v>
                </c:pt>
                <c:pt idx="5">
                  <c:v>8470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3F-4E7F-BC80-B170D8C09097}"/>
            </c:ext>
          </c:extLst>
        </c:ser>
        <c:ser>
          <c:idx val="1"/>
          <c:order val="1"/>
          <c:tx>
            <c:strRef>
              <c:f>'c22'!$E$5</c:f>
              <c:strCache>
                <c:ptCount val="1"/>
                <c:pt idx="0">
                  <c:v>Tanque Séptico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('c22'!$B$13,'c22'!$B$17,'c22'!$B$21,'c22'!$B$25,'c22'!$B$29,'c22'!$B$33)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('c22'!$E$14,'c22'!$E$18,'c22'!$E$22,'c22'!$E$26,'c22'!$E$30,'c22'!$E$34)</c:f>
              <c:numCache>
                <c:formatCode>#,##0</c:formatCode>
                <c:ptCount val="6"/>
                <c:pt idx="0">
                  <c:v>639728</c:v>
                </c:pt>
                <c:pt idx="1">
                  <c:v>101735</c:v>
                </c:pt>
                <c:pt idx="2">
                  <c:v>78748</c:v>
                </c:pt>
                <c:pt idx="3">
                  <c:v>112855</c:v>
                </c:pt>
                <c:pt idx="4">
                  <c:v>118435</c:v>
                </c:pt>
                <c:pt idx="5">
                  <c:v>107610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3F-4E7F-BC80-B170D8C09097}"/>
            </c:ext>
          </c:extLst>
        </c:ser>
        <c:ser>
          <c:idx val="2"/>
          <c:order val="2"/>
          <c:tx>
            <c:strRef>
              <c:f>'c22'!$F$5</c:f>
              <c:strCache>
                <c:ptCount val="1"/>
                <c:pt idx="0">
                  <c:v>Otro 1/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strRef>
              <c:f>('c22'!$B$13,'c22'!$B$17,'c22'!$B$21,'c22'!$B$25,'c22'!$B$29,'c22'!$B$33)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('c22'!$F$14,'c22'!$F$18,'c22'!$F$22,'c22'!$F$26,'c22'!$F$30,'c22'!$F$34)</c:f>
              <c:numCache>
                <c:formatCode>#,##0</c:formatCode>
                <c:ptCount val="6"/>
                <c:pt idx="0">
                  <c:v>6840</c:v>
                </c:pt>
                <c:pt idx="1">
                  <c:v>3781</c:v>
                </c:pt>
                <c:pt idx="2">
                  <c:v>1424</c:v>
                </c:pt>
                <c:pt idx="3">
                  <c:v>1051</c:v>
                </c:pt>
                <c:pt idx="4">
                  <c:v>3710</c:v>
                </c:pt>
                <c:pt idx="5">
                  <c:v>2176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3F-4E7F-BC80-B170D8C09097}"/>
            </c:ext>
          </c:extLst>
        </c:ser>
        <c:ser>
          <c:idx val="3"/>
          <c:order val="3"/>
          <c:tx>
            <c:strRef>
              <c:f>'c22'!$G$5</c:f>
              <c:strCache>
                <c:ptCount val="1"/>
                <c:pt idx="0">
                  <c:v>No tiene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strRef>
              <c:f>('c22'!$B$13,'c22'!$B$17,'c22'!$B$21,'c22'!$B$25,'c22'!$B$29,'c22'!$B$33)</c:f>
              <c:strCache>
                <c:ptCount val="6"/>
                <c:pt idx="0">
                  <c:v> Central</c:v>
                </c:pt>
                <c:pt idx="1">
                  <c:v> Chorotega</c:v>
                </c:pt>
                <c:pt idx="2">
                  <c:v> Pacífico Central</c:v>
                </c:pt>
                <c:pt idx="3">
                  <c:v> Brunca</c:v>
                </c:pt>
                <c:pt idx="4">
                  <c:v> Huetar Caribe</c:v>
                </c:pt>
                <c:pt idx="5">
                  <c:v> Huetar Norte</c:v>
                </c:pt>
              </c:strCache>
            </c:strRef>
          </c:cat>
          <c:val>
            <c:numRef>
              <c:f>('c22'!$G$14,'c22'!$G$18,'c22'!$G$22,'c22'!$G$26,'c22'!$G$30,'c22'!$G$34)</c:f>
              <c:numCache>
                <c:formatCode>#,##0</c:formatCode>
                <c:ptCount val="6"/>
                <c:pt idx="0">
                  <c:v>2625</c:v>
                </c:pt>
                <c:pt idx="1">
                  <c:v>591</c:v>
                </c:pt>
                <c:pt idx="2">
                  <c:v>253</c:v>
                </c:pt>
                <c:pt idx="3">
                  <c:v>580</c:v>
                </c:pt>
                <c:pt idx="4">
                  <c:v>1077</c:v>
                </c:pt>
                <c:pt idx="5">
                  <c:v>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3F-4E7F-BC80-B170D8C09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82342472"/>
        <c:axId val="582345096"/>
        <c:axId val="0"/>
      </c:bar3DChart>
      <c:catAx>
        <c:axId val="5823424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2345096"/>
        <c:crosses val="autoZero"/>
        <c:auto val="1"/>
        <c:lblAlgn val="ctr"/>
        <c:lblOffset val="100"/>
        <c:noMultiLvlLbl val="0"/>
      </c:catAx>
      <c:valAx>
        <c:axId val="582345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823424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Porcentaje de ingreso neto promedio del hogar que gasta en alquiler,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9.6291062482107368E-3"/>
                  <c:y val="-1.01592041320479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FB-4AFF-A184-BC8AB0DC1A6C}"/>
                </c:ext>
              </c:extLst>
            </c:dLbl>
            <c:dLbl>
              <c:idx val="1"/>
              <c:layout>
                <c:manualLayout>
                  <c:x val="1.4723149149598018E-2"/>
                  <c:y val="-1.671860701964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1FB-4AFF-A184-BC8AB0DC1A6C}"/>
                </c:ext>
              </c:extLst>
            </c:dLbl>
            <c:dLbl>
              <c:idx val="2"/>
              <c:layout>
                <c:manualLayout>
                  <c:x val="7.4991811528127336E-3"/>
                  <c:y val="-1.6718607019641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FB-4AFF-A184-BC8AB0DC1A6C}"/>
                </c:ext>
              </c:extLst>
            </c:dLbl>
            <c:dLbl>
              <c:idx val="3"/>
              <c:layout>
                <c:manualLayout>
                  <c:x val="1.3888956439006665E-2"/>
                  <c:y val="-2.23776190918093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FB-4AFF-A184-BC8AB0DC1A6C}"/>
                </c:ext>
              </c:extLst>
            </c:dLbl>
            <c:dLbl>
              <c:idx val="4"/>
              <c:layout>
                <c:manualLayout>
                  <c:x val="1.2593224054199974E-2"/>
                  <c:y val="-2.04482102016100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1FB-4AFF-A184-BC8AB0DC1A6C}"/>
                </c:ext>
              </c:extLst>
            </c:dLbl>
            <c:dLbl>
              <c:idx val="5"/>
              <c:layout>
                <c:manualLayout>
                  <c:x val="1.4723149149598056E-2"/>
                  <c:y val="-1.58185098737573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FB-4AFF-A184-BC8AB0DC1A6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'c28'!$B$7:$B$12</c:f>
              <c:strCache>
                <c:ptCount val="6"/>
                <c:pt idx="0">
                  <c:v>Central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 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'c28'!$H$7:$H$12</c:f>
              <c:numCache>
                <c:formatCode>0.0%</c:formatCode>
                <c:ptCount val="6"/>
                <c:pt idx="0">
                  <c:v>0.14998400889823396</c:v>
                </c:pt>
                <c:pt idx="1">
                  <c:v>0.1352619377629497</c:v>
                </c:pt>
                <c:pt idx="2">
                  <c:v>0.14500961292135808</c:v>
                </c:pt>
                <c:pt idx="3">
                  <c:v>0.11924658729558137</c:v>
                </c:pt>
                <c:pt idx="4">
                  <c:v>0.10327638471428632</c:v>
                </c:pt>
                <c:pt idx="5">
                  <c:v>0.11385854937574884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B-4AFF-A184-BC8AB0DC1A6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791468360"/>
        <c:axId val="791473936"/>
        <c:axId val="0"/>
      </c:bar3DChart>
      <c:catAx>
        <c:axId val="791468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91473936"/>
        <c:crosses val="autoZero"/>
        <c:auto val="1"/>
        <c:lblAlgn val="ctr"/>
        <c:lblOffset val="100"/>
        <c:noMultiLvlLbl val="0"/>
      </c:catAx>
      <c:valAx>
        <c:axId val="791473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91468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Déficit habitacional por región,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Déficit cuantitativo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-1.6235410901311392E-2"/>
                  <c:y val="-1.25195618153364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16.528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63-46C9-AF88-546FB6D3667A}"/>
                </c:ext>
              </c:extLst>
            </c:dLbl>
            <c:dLbl>
              <c:idx val="1"/>
              <c:layout>
                <c:manualLayout>
                  <c:x val="-6.0882790879917721E-3"/>
                  <c:y val="-1.1476132424130698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1.328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63-46C9-AF88-546FB6D3667A}"/>
                </c:ext>
              </c:extLst>
            </c:dLbl>
            <c:dLbl>
              <c:idx val="2"/>
              <c:layout>
                <c:manualLayout>
                  <c:x val="-4.058852725327848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63-46C9-AF88-546FB6D3667A}"/>
                </c:ext>
              </c:extLst>
            </c:dLbl>
            <c:dLbl>
              <c:idx val="3"/>
              <c:layout>
                <c:manualLayout>
                  <c:x val="-4.058852725327922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D63-46C9-AF88-546FB6D3667A}"/>
                </c:ext>
              </c:extLst>
            </c:dLbl>
            <c:dLbl>
              <c:idx val="4"/>
              <c:layout>
                <c:manualLayout>
                  <c:x val="-6.0882790879917721E-3"/>
                  <c:y val="0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1.129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63-46C9-AF88-546FB6D3667A}"/>
                </c:ext>
              </c:extLst>
            </c:dLbl>
            <c:dLbl>
              <c:idx val="5"/>
              <c:layout>
                <c:manualLayout>
                  <c:x val="-6.0882790879919213E-3"/>
                  <c:y val="-1.1476132424130698E-1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1.278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D63-46C9-AF88-546FB6D36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'c29'!$D$5:$I$5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'c29'!$D$8:$I$8</c:f>
              <c:numCache>
                <c:formatCode>#,##0</c:formatCode>
                <c:ptCount val="6"/>
                <c:pt idx="0">
                  <c:v>16528</c:v>
                </c:pt>
                <c:pt idx="1">
                  <c:v>1328</c:v>
                </c:pt>
                <c:pt idx="2">
                  <c:v>770</c:v>
                </c:pt>
                <c:pt idx="3">
                  <c:v>575</c:v>
                </c:pt>
                <c:pt idx="4">
                  <c:v>1129</c:v>
                </c:pt>
                <c:pt idx="5">
                  <c:v>1278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63-46C9-AF88-546FB6D3667A}"/>
            </c:ext>
          </c:extLst>
        </c:ser>
        <c:ser>
          <c:idx val="1"/>
          <c:order val="1"/>
          <c:tx>
            <c:v>Déficit cualitativo</c:v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dLbls>
            <c:dLbl>
              <c:idx val="0"/>
              <c:layout>
                <c:manualLayout>
                  <c:x val="8.1177054506556771E-3"/>
                  <c:y val="-6.25978090766823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66.278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63-46C9-AF88-546FB6D3667A}"/>
                </c:ext>
              </c:extLst>
            </c:dLbl>
            <c:dLbl>
              <c:idx val="1"/>
              <c:layout>
                <c:manualLayout>
                  <c:x val="2.0294263626638867E-3"/>
                  <c:y val="-6.25978090766834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13.296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63-46C9-AF88-546FB6D3667A}"/>
                </c:ext>
              </c:extLst>
            </c:dLbl>
            <c:dLbl>
              <c:idx val="2"/>
              <c:layout>
                <c:manualLayout>
                  <c:x val="6.0882790879917721E-3"/>
                  <c:y val="-3.12989045383411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16.401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63-46C9-AF88-546FB6D3667A}"/>
                </c:ext>
              </c:extLst>
            </c:dLbl>
            <c:dLbl>
              <c:idx val="3"/>
              <c:layout>
                <c:manualLayout>
                  <c:x val="6.0882790879916238E-3"/>
                  <c:y val="-3.1298904538341159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16.863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D63-46C9-AF88-546FB6D3667A}"/>
                </c:ext>
              </c:extLst>
            </c:dLbl>
            <c:dLbl>
              <c:idx val="4"/>
              <c:layout>
                <c:manualLayout>
                  <c:x val="6.0882790879917721E-3"/>
                  <c:y val="-6.25978090766823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26.988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D63-46C9-AF88-546FB6D3667A}"/>
                </c:ext>
              </c:extLst>
            </c:dLbl>
            <c:dLbl>
              <c:idx val="5"/>
              <c:layout>
                <c:manualLayout>
                  <c:x val="8.1177054506556962E-3"/>
                  <c:y val="-6.25978090766823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18.807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D63-46C9-AF88-546FB6D3667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'c29'!$D$5:$I$5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'c29'!$D$12:$I$12</c:f>
              <c:numCache>
                <c:formatCode>#,##0</c:formatCode>
                <c:ptCount val="6"/>
                <c:pt idx="0">
                  <c:v>66278</c:v>
                </c:pt>
                <c:pt idx="1">
                  <c:v>13296</c:v>
                </c:pt>
                <c:pt idx="2">
                  <c:v>16401</c:v>
                </c:pt>
                <c:pt idx="3">
                  <c:v>16863</c:v>
                </c:pt>
                <c:pt idx="4">
                  <c:v>26988</c:v>
                </c:pt>
                <c:pt idx="5">
                  <c:v>18807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63-46C9-AF88-546FB6D366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92185680"/>
        <c:axId val="593295080"/>
        <c:axId val="0"/>
      </c:bar3DChart>
      <c:catAx>
        <c:axId val="592185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3295080"/>
        <c:crosses val="autoZero"/>
        <c:auto val="1"/>
        <c:lblAlgn val="ctr"/>
        <c:lblOffset val="100"/>
        <c:noMultiLvlLbl val="0"/>
      </c:catAx>
      <c:valAx>
        <c:axId val="593295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2185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Déficit habitacional por decil de ingreso total del hogar neto,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'c30'!$B$9</c:f>
              <c:strCache>
                <c:ptCount val="1"/>
                <c:pt idx="0">
                  <c:v>Déficit cuantitativo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'c30'!$D$4:$M$5</c:f>
              <c:strCache>
                <c:ptCount val="10"/>
                <c:pt idx="0">
                  <c:v>Menos de 147.334</c:v>
                </c:pt>
                <c:pt idx="1">
                  <c:v>De 147.334 a 267.067</c:v>
                </c:pt>
                <c:pt idx="2">
                  <c:v>De 267.068 a 390.000</c:v>
                </c:pt>
                <c:pt idx="3">
                  <c:v>De 390.001 a 502.288</c:v>
                </c:pt>
                <c:pt idx="4">
                  <c:v>De 502.289 a 647.333</c:v>
                </c:pt>
                <c:pt idx="5">
                  <c:v>De 647.334 a 831.567</c:v>
                </c:pt>
                <c:pt idx="6">
                  <c:v>De 831.568 a 1.084.417</c:v>
                </c:pt>
                <c:pt idx="7">
                  <c:v>De 1.084.418 a 1.491.286</c:v>
                </c:pt>
                <c:pt idx="8">
                  <c:v>De 1.491.287 a 2.253.714</c:v>
                </c:pt>
                <c:pt idx="9">
                  <c:v>De 2.253.715 y más </c:v>
                </c:pt>
              </c:strCache>
            </c:strRef>
          </c:cat>
          <c:val>
            <c:numRef>
              <c:f>'c30'!$D$9:$M$9</c:f>
              <c:numCache>
                <c:formatCode>#,##0</c:formatCode>
                <c:ptCount val="10"/>
                <c:pt idx="0">
                  <c:v>2965</c:v>
                </c:pt>
                <c:pt idx="1">
                  <c:v>2623</c:v>
                </c:pt>
                <c:pt idx="2">
                  <c:v>2774</c:v>
                </c:pt>
                <c:pt idx="3">
                  <c:v>5024</c:v>
                </c:pt>
                <c:pt idx="4">
                  <c:v>2615</c:v>
                </c:pt>
                <c:pt idx="5">
                  <c:v>1840</c:v>
                </c:pt>
                <c:pt idx="6">
                  <c:v>1500</c:v>
                </c:pt>
                <c:pt idx="7">
                  <c:v>1509</c:v>
                </c:pt>
                <c:pt idx="8">
                  <c:v>592</c:v>
                </c:pt>
                <c:pt idx="9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D6-48F4-8C59-DF5183DD9B37}"/>
            </c:ext>
          </c:extLst>
        </c:ser>
        <c:ser>
          <c:idx val="1"/>
          <c:order val="1"/>
          <c:tx>
            <c:strRef>
              <c:f>'c30'!$B$13</c:f>
              <c:strCache>
                <c:ptCount val="1"/>
                <c:pt idx="0">
                  <c:v>Déficit cualitativo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'c30'!$D$4:$M$5</c:f>
              <c:strCache>
                <c:ptCount val="10"/>
                <c:pt idx="0">
                  <c:v>Menos de 147.334</c:v>
                </c:pt>
                <c:pt idx="1">
                  <c:v>De 147.334 a 267.067</c:v>
                </c:pt>
                <c:pt idx="2">
                  <c:v>De 267.068 a 390.000</c:v>
                </c:pt>
                <c:pt idx="3">
                  <c:v>De 390.001 a 502.288</c:v>
                </c:pt>
                <c:pt idx="4">
                  <c:v>De 502.289 a 647.333</c:v>
                </c:pt>
                <c:pt idx="5">
                  <c:v>De 647.334 a 831.567</c:v>
                </c:pt>
                <c:pt idx="6">
                  <c:v>De 831.568 a 1.084.417</c:v>
                </c:pt>
                <c:pt idx="7">
                  <c:v>De 1.084.418 a 1.491.286</c:v>
                </c:pt>
                <c:pt idx="8">
                  <c:v>De 1.491.287 a 2.253.714</c:v>
                </c:pt>
                <c:pt idx="9">
                  <c:v>De 2.253.715 y más </c:v>
                </c:pt>
              </c:strCache>
            </c:strRef>
          </c:cat>
          <c:val>
            <c:numRef>
              <c:f>'c30'!$D$13:$M$13</c:f>
              <c:numCache>
                <c:formatCode>#,##0</c:formatCode>
                <c:ptCount val="10"/>
                <c:pt idx="0">
                  <c:v>36505</c:v>
                </c:pt>
                <c:pt idx="1">
                  <c:v>25328</c:v>
                </c:pt>
                <c:pt idx="2">
                  <c:v>23448</c:v>
                </c:pt>
                <c:pt idx="3">
                  <c:v>20175</c:v>
                </c:pt>
                <c:pt idx="4">
                  <c:v>15347</c:v>
                </c:pt>
                <c:pt idx="5">
                  <c:v>12337</c:v>
                </c:pt>
                <c:pt idx="6">
                  <c:v>13488</c:v>
                </c:pt>
                <c:pt idx="7">
                  <c:v>8047</c:v>
                </c:pt>
                <c:pt idx="8">
                  <c:v>2484</c:v>
                </c:pt>
                <c:pt idx="9">
                  <c:v>1474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9D6-48F4-8C59-DF5183DD9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9248984"/>
        <c:axId val="459253904"/>
        <c:axId val="0"/>
      </c:bar3DChart>
      <c:catAx>
        <c:axId val="459248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9253904"/>
        <c:crosses val="autoZero"/>
        <c:auto val="1"/>
        <c:lblAlgn val="ctr"/>
        <c:lblOffset val="100"/>
        <c:noMultiLvlLbl val="0"/>
      </c:catAx>
      <c:valAx>
        <c:axId val="459253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92489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CR" sz="1400" b="1"/>
              <a:t>Número de BFV pagados y monto de la inversión real. 2005-2018
-colones del 2018-</a:t>
            </a:r>
          </a:p>
        </c:rich>
      </c:tx>
      <c:layout>
        <c:manualLayout>
          <c:xMode val="edge"/>
          <c:yMode val="edge"/>
          <c:x val="0.14478544642013644"/>
          <c:y val="2.505363610551319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547513111663202"/>
          <c:y val="0.34571428571428636"/>
          <c:w val="0.61179828249624135"/>
          <c:h val="0.47131020105740451"/>
        </c:manualLayout>
      </c:layout>
      <c:barChart>
        <c:barDir val="col"/>
        <c:grouping val="clustered"/>
        <c:varyColors val="0"/>
        <c:ser>
          <c:idx val="0"/>
          <c:order val="0"/>
          <c:tx>
            <c:v>Número de BFV</c:v>
          </c:tx>
          <c:spPr>
            <a:pattFill prst="dkDnDiag">
              <a:fgClr>
                <a:srgbClr val="3ABFC2"/>
              </a:fgClr>
              <a:bgClr>
                <a:schemeClr val="bg1"/>
              </a:bgClr>
            </a:pattFill>
            <a:ln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</a:ln>
          </c:spPr>
          <c:invertIfNegative val="0"/>
          <c:cat>
            <c:numRef>
              <c:f>'c31 g3'!$B$5:$B$18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'c31 g3'!$C$5:$C$18</c:f>
              <c:numCache>
                <c:formatCode>#,##0</c:formatCode>
                <c:ptCount val="14"/>
                <c:pt idx="0">
                  <c:v>9917</c:v>
                </c:pt>
                <c:pt idx="1">
                  <c:v>8756</c:v>
                </c:pt>
                <c:pt idx="2">
                  <c:v>11442</c:v>
                </c:pt>
                <c:pt idx="3">
                  <c:v>12714</c:v>
                </c:pt>
                <c:pt idx="4">
                  <c:v>9642</c:v>
                </c:pt>
                <c:pt idx="5">
                  <c:v>10722</c:v>
                </c:pt>
                <c:pt idx="6">
                  <c:v>10461</c:v>
                </c:pt>
                <c:pt idx="7">
                  <c:v>9463</c:v>
                </c:pt>
                <c:pt idx="8">
                  <c:v>10061</c:v>
                </c:pt>
                <c:pt idx="9">
                  <c:v>9804</c:v>
                </c:pt>
                <c:pt idx="10">
                  <c:v>10867</c:v>
                </c:pt>
                <c:pt idx="11">
                  <c:v>11823</c:v>
                </c:pt>
                <c:pt idx="12">
                  <c:v>11155</c:v>
                </c:pt>
                <c:pt idx="13">
                  <c:v>11461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C-4138-9792-30F728271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8382888"/>
        <c:axId val="1"/>
      </c:barChart>
      <c:lineChart>
        <c:grouping val="standard"/>
        <c:varyColors val="0"/>
        <c:ser>
          <c:idx val="2"/>
          <c:order val="1"/>
          <c:tx>
            <c:v>Inversión real en BFV</c:v>
          </c:tx>
          <c:spPr>
            <a:ln w="31750" cmpd="thickThin">
              <a:solidFill>
                <a:srgbClr val="B43E97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B43E97">
                  <a:alpha val="90000"/>
                </a:srgbClr>
              </a:solidFill>
              <a:ln w="9525" cap="rnd" cmpd="dbl">
                <a:solidFill>
                  <a:srgbClr val="B43E97"/>
                </a:solidFill>
                <a:prstDash val="lgDashDot"/>
              </a:ln>
            </c:spPr>
          </c:marker>
          <c:cat>
            <c:numRef>
              <c:f>'c31 g3'!$B$5:$B$18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'c31 g3'!$G$5:$G$18</c:f>
              <c:numCache>
                <c:formatCode>"₡"#,##0</c:formatCode>
                <c:ptCount val="14"/>
                <c:pt idx="0">
                  <c:v>58652.022727813128</c:v>
                </c:pt>
                <c:pt idx="1">
                  <c:v>52746.312108074861</c:v>
                </c:pt>
                <c:pt idx="2">
                  <c:v>69728.120799216966</c:v>
                </c:pt>
                <c:pt idx="3">
                  <c:v>82100.94491941006</c:v>
                </c:pt>
                <c:pt idx="4">
                  <c:v>79774.928774928776</c:v>
                </c:pt>
                <c:pt idx="5">
                  <c:v>85068.181818181809</c:v>
                </c:pt>
                <c:pt idx="6">
                  <c:v>83090.25270758124</c:v>
                </c:pt>
                <c:pt idx="7">
                  <c:v>75561.405529953918</c:v>
                </c:pt>
                <c:pt idx="8">
                  <c:v>80683.5886214442</c:v>
                </c:pt>
                <c:pt idx="9">
                  <c:v>76725.654450261776</c:v>
                </c:pt>
                <c:pt idx="10">
                  <c:v>87485.98130841121</c:v>
                </c:pt>
                <c:pt idx="11">
                  <c:v>97611.007268951187</c:v>
                </c:pt>
                <c:pt idx="12">
                  <c:v>97571.574642126798</c:v>
                </c:pt>
                <c:pt idx="13">
                  <c:v>104875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C-4138-9792-30F728271E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3828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Año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s-C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Número de BFV</a:t>
                </a:r>
              </a:p>
            </c:rich>
          </c:tx>
          <c:layout>
            <c:manualLayout>
              <c:xMode val="edge"/>
              <c:yMode val="edge"/>
              <c:x val="2.8723193638353892E-2"/>
              <c:y val="0.44790393285272057"/>
            </c:manualLayout>
          </c:layout>
          <c:overlay val="0"/>
        </c:title>
        <c:numFmt formatCode="#,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1838288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Monto de inversión</a:t>
                </a:r>
              </a:p>
            </c:rich>
          </c:tx>
          <c:layout>
            <c:manualLayout>
              <c:xMode val="edge"/>
              <c:yMode val="edge"/>
              <c:x val="0.87194919883840816"/>
              <c:y val="0.4033219066614035"/>
            </c:manualLayout>
          </c:layout>
          <c:overlay val="0"/>
        </c:title>
        <c:numFmt formatCode="&quot;₡&quot;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"/>
        <c:crosses val="max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chemeClr val="tx2"/>
          </a:solidFill>
          <a:latin typeface="+mn-lt"/>
          <a:ea typeface="Calibri"/>
          <a:cs typeface="Calibri"/>
        </a:defRPr>
      </a:pPr>
      <a:endParaRPr lang="es-CR"/>
    </a:p>
  </c:txPr>
  <c:printSettings>
    <c:headerFooter alignWithMargins="0">
      <c:oddHeader>&amp;A</c:oddHeader>
      <c:oddFooter>Page &amp;P</c:oddFooter>
    </c:headerFooter>
    <c:pageMargins b="1" l="0.750000000000001" r="0.750000000000001" t="1" header="0.5" footer="0.5"/>
    <c:pageSetup/>
  </c:printSettings>
  <c:userShapes r:id="rId1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pagados por entidad autorizada, 2005 - 2018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'c32'!$D$4</c:f>
              <c:strCache>
                <c:ptCount val="1"/>
                <c:pt idx="0">
                  <c:v>Bancos Estatales</c:v>
                </c:pt>
              </c:strCache>
            </c:strRef>
          </c:tx>
          <c:spPr>
            <a:solidFill>
              <a:srgbClr val="FF0000"/>
            </a:solidFill>
            <a:ln w="9525" cap="flat" cmpd="sng" algn="ctr">
              <a:solidFill>
                <a:srgbClr val="FF0000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rgbClr val="FF0000"/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'c32'!$D$5:$D$18</c:f>
              <c:numCache>
                <c:formatCode>#,##0</c:formatCode>
                <c:ptCount val="14"/>
                <c:pt idx="0">
                  <c:v>0</c:v>
                </c:pt>
                <c:pt idx="1">
                  <c:v>11</c:v>
                </c:pt>
                <c:pt idx="2">
                  <c:v>151</c:v>
                </c:pt>
                <c:pt idx="3">
                  <c:v>595</c:v>
                </c:pt>
                <c:pt idx="4">
                  <c:v>804</c:v>
                </c:pt>
                <c:pt idx="5">
                  <c:v>611</c:v>
                </c:pt>
                <c:pt idx="6">
                  <c:v>639</c:v>
                </c:pt>
                <c:pt idx="7">
                  <c:v>413</c:v>
                </c:pt>
                <c:pt idx="8">
                  <c:v>519</c:v>
                </c:pt>
                <c:pt idx="9">
                  <c:v>339</c:v>
                </c:pt>
                <c:pt idx="10">
                  <c:v>466</c:v>
                </c:pt>
                <c:pt idx="11">
                  <c:v>452</c:v>
                </c:pt>
                <c:pt idx="12">
                  <c:v>279</c:v>
                </c:pt>
                <c:pt idx="13">
                  <c:v>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47-4916-B379-54CAA4D01E0E}"/>
            </c:ext>
          </c:extLst>
        </c:ser>
        <c:ser>
          <c:idx val="1"/>
          <c:order val="1"/>
          <c:tx>
            <c:strRef>
              <c:f>'c32'!$E$4</c:f>
              <c:strCache>
                <c:ptCount val="1"/>
                <c:pt idx="0">
                  <c:v>Bancos Privados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'c32'!$E$5:$E$18</c:f>
              <c:numCache>
                <c:formatCode>#,##0</c:formatCode>
                <c:ptCount val="14"/>
                <c:pt idx="0">
                  <c:v>1250</c:v>
                </c:pt>
                <c:pt idx="1">
                  <c:v>1612</c:v>
                </c:pt>
                <c:pt idx="2">
                  <c:v>2050</c:v>
                </c:pt>
                <c:pt idx="3">
                  <c:v>1878</c:v>
                </c:pt>
                <c:pt idx="4">
                  <c:v>147</c:v>
                </c:pt>
                <c:pt idx="5">
                  <c:v>620</c:v>
                </c:pt>
                <c:pt idx="6">
                  <c:v>626</c:v>
                </c:pt>
                <c:pt idx="7">
                  <c:v>169</c:v>
                </c:pt>
                <c:pt idx="8">
                  <c:v>227</c:v>
                </c:pt>
                <c:pt idx="9">
                  <c:v>246</c:v>
                </c:pt>
                <c:pt idx="10">
                  <c:v>386</c:v>
                </c:pt>
                <c:pt idx="11">
                  <c:v>403</c:v>
                </c:pt>
                <c:pt idx="12">
                  <c:v>334</c:v>
                </c:pt>
                <c:pt idx="13">
                  <c:v>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47-4916-B379-54CAA4D01E0E}"/>
            </c:ext>
          </c:extLst>
        </c:ser>
        <c:ser>
          <c:idx val="2"/>
          <c:order val="2"/>
          <c:tx>
            <c:strRef>
              <c:f>'c32'!$F$4</c:f>
              <c:strCache>
                <c:ptCount val="1"/>
                <c:pt idx="0">
                  <c:v>Bancos Creados por leyes especiales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tint val="50000"/>
                    <a:satMod val="300000"/>
                  </a:schemeClr>
                </a:gs>
                <a:gs pos="35000">
                  <a:schemeClr val="accent3">
                    <a:tint val="37000"/>
                    <a:satMod val="300000"/>
                  </a:schemeClr>
                </a:gs>
                <a:gs pos="100000">
                  <a:schemeClr val="accent3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3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>
                  <a:shade val="95000"/>
                </a:schemeClr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'c32'!$F$5:$F$18</c:f>
              <c:numCache>
                <c:formatCode>#,##0</c:formatCode>
                <c:ptCount val="14"/>
                <c:pt idx="0">
                  <c:v>250</c:v>
                </c:pt>
                <c:pt idx="1">
                  <c:v>416</c:v>
                </c:pt>
                <c:pt idx="2">
                  <c:v>346</c:v>
                </c:pt>
                <c:pt idx="3">
                  <c:v>261</c:v>
                </c:pt>
                <c:pt idx="4">
                  <c:v>293</c:v>
                </c:pt>
                <c:pt idx="5">
                  <c:v>415</c:v>
                </c:pt>
                <c:pt idx="6">
                  <c:v>280</c:v>
                </c:pt>
                <c:pt idx="7">
                  <c:v>244</c:v>
                </c:pt>
                <c:pt idx="8">
                  <c:v>186</c:v>
                </c:pt>
                <c:pt idx="9">
                  <c:v>271</c:v>
                </c:pt>
                <c:pt idx="10">
                  <c:v>215</c:v>
                </c:pt>
                <c:pt idx="11">
                  <c:v>175</c:v>
                </c:pt>
                <c:pt idx="12">
                  <c:v>142</c:v>
                </c:pt>
                <c:pt idx="13">
                  <c:v>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47-4916-B379-54CAA4D01E0E}"/>
            </c:ext>
          </c:extLst>
        </c:ser>
        <c:ser>
          <c:idx val="3"/>
          <c:order val="3"/>
          <c:tx>
            <c:strRef>
              <c:f>'c32'!$G$4</c:f>
              <c:strCache>
                <c:ptCount val="1"/>
                <c:pt idx="0">
                  <c:v>Cooperativas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'c32'!$G$5:$G$18</c:f>
              <c:numCache>
                <c:formatCode>#,##0</c:formatCode>
                <c:ptCount val="14"/>
                <c:pt idx="0">
                  <c:v>1648</c:v>
                </c:pt>
                <c:pt idx="1">
                  <c:v>2204</c:v>
                </c:pt>
                <c:pt idx="2">
                  <c:v>3426</c:v>
                </c:pt>
                <c:pt idx="3">
                  <c:v>3726</c:v>
                </c:pt>
                <c:pt idx="4">
                  <c:v>2831</c:v>
                </c:pt>
                <c:pt idx="5">
                  <c:v>3166</c:v>
                </c:pt>
                <c:pt idx="6">
                  <c:v>2943</c:v>
                </c:pt>
                <c:pt idx="7">
                  <c:v>3240</c:v>
                </c:pt>
                <c:pt idx="8">
                  <c:v>3418</c:v>
                </c:pt>
                <c:pt idx="9">
                  <c:v>3585</c:v>
                </c:pt>
                <c:pt idx="10">
                  <c:v>3956</c:v>
                </c:pt>
                <c:pt idx="11">
                  <c:v>3953</c:v>
                </c:pt>
                <c:pt idx="12">
                  <c:v>3710</c:v>
                </c:pt>
                <c:pt idx="13">
                  <c:v>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47-4916-B379-54CAA4D01E0E}"/>
            </c:ext>
          </c:extLst>
        </c:ser>
        <c:ser>
          <c:idx val="4"/>
          <c:order val="4"/>
          <c:tx>
            <c:strRef>
              <c:f>'c32'!$H$4</c:f>
              <c:strCache>
                <c:ptCount val="1"/>
                <c:pt idx="0">
                  <c:v>Instituciones Autónomas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'c32'!$H$5:$H$18</c:f>
              <c:numCache>
                <c:formatCode>#,##0</c:formatCode>
                <c:ptCount val="14"/>
                <c:pt idx="0">
                  <c:v>1880</c:v>
                </c:pt>
                <c:pt idx="1">
                  <c:v>840</c:v>
                </c:pt>
                <c:pt idx="2">
                  <c:v>1074</c:v>
                </c:pt>
                <c:pt idx="3">
                  <c:v>1093</c:v>
                </c:pt>
                <c:pt idx="4">
                  <c:v>1381</c:v>
                </c:pt>
                <c:pt idx="5">
                  <c:v>1416</c:v>
                </c:pt>
                <c:pt idx="6">
                  <c:v>590</c:v>
                </c:pt>
                <c:pt idx="7">
                  <c:v>651</c:v>
                </c:pt>
                <c:pt idx="8">
                  <c:v>528</c:v>
                </c:pt>
                <c:pt idx="9">
                  <c:v>442</c:v>
                </c:pt>
                <c:pt idx="10">
                  <c:v>102</c:v>
                </c:pt>
                <c:pt idx="11">
                  <c:v>183</c:v>
                </c:pt>
                <c:pt idx="12">
                  <c:v>59</c:v>
                </c:pt>
                <c:pt idx="13">
                  <c:v>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47-4916-B379-54CAA4D01E0E}"/>
            </c:ext>
          </c:extLst>
        </c:ser>
        <c:ser>
          <c:idx val="5"/>
          <c:order val="5"/>
          <c:tx>
            <c:strRef>
              <c:f>'c32'!$I$4</c:f>
              <c:strCache>
                <c:ptCount val="1"/>
                <c:pt idx="0">
                  <c:v>Mutuales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/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'c32'!$I$5:$I$18</c:f>
              <c:numCache>
                <c:formatCode>#,##0</c:formatCode>
                <c:ptCount val="14"/>
                <c:pt idx="0">
                  <c:v>2819</c:v>
                </c:pt>
                <c:pt idx="1">
                  <c:v>2021</c:v>
                </c:pt>
                <c:pt idx="2">
                  <c:v>2713</c:v>
                </c:pt>
                <c:pt idx="3">
                  <c:v>3027</c:v>
                </c:pt>
                <c:pt idx="4">
                  <c:v>2561</c:v>
                </c:pt>
                <c:pt idx="5">
                  <c:v>2744</c:v>
                </c:pt>
                <c:pt idx="6">
                  <c:v>3195</c:v>
                </c:pt>
                <c:pt idx="7">
                  <c:v>3152</c:v>
                </c:pt>
                <c:pt idx="8">
                  <c:v>4047</c:v>
                </c:pt>
                <c:pt idx="9">
                  <c:v>3933</c:v>
                </c:pt>
                <c:pt idx="10">
                  <c:v>4814</c:v>
                </c:pt>
                <c:pt idx="11">
                  <c:v>5660</c:v>
                </c:pt>
                <c:pt idx="12">
                  <c:v>5319</c:v>
                </c:pt>
                <c:pt idx="13">
                  <c:v>6055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47-4916-B379-54CAA4D01E0E}"/>
            </c:ext>
          </c:extLst>
        </c:ser>
        <c:ser>
          <c:idx val="6"/>
          <c:order val="6"/>
          <c:tx>
            <c:strRef>
              <c:f>'c32'!$J$4</c:f>
              <c:strCache>
                <c:ptCount val="1"/>
                <c:pt idx="0">
                  <c:v>Otras 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numRef>
              <c:f>'c32'!$B$5:$B$18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'c32'!$J$5:$J$18</c:f>
              <c:numCache>
                <c:formatCode>#,##0</c:formatCode>
                <c:ptCount val="14"/>
                <c:pt idx="0">
                  <c:v>2070</c:v>
                </c:pt>
                <c:pt idx="1">
                  <c:v>1652</c:v>
                </c:pt>
                <c:pt idx="2">
                  <c:v>1682</c:v>
                </c:pt>
                <c:pt idx="3">
                  <c:v>2134</c:v>
                </c:pt>
                <c:pt idx="4">
                  <c:v>1625</c:v>
                </c:pt>
                <c:pt idx="5">
                  <c:v>1750</c:v>
                </c:pt>
                <c:pt idx="6">
                  <c:v>2188</c:v>
                </c:pt>
                <c:pt idx="7">
                  <c:v>1594</c:v>
                </c:pt>
                <c:pt idx="8">
                  <c:v>1136</c:v>
                </c:pt>
                <c:pt idx="9">
                  <c:v>988</c:v>
                </c:pt>
                <c:pt idx="10">
                  <c:v>928</c:v>
                </c:pt>
                <c:pt idx="11">
                  <c:v>997</c:v>
                </c:pt>
                <c:pt idx="12">
                  <c:v>1312</c:v>
                </c:pt>
                <c:pt idx="13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947-4916-B379-54CAA4D01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6152832"/>
        <c:axId val="696150536"/>
        <c:axId val="0"/>
      </c:bar3DChart>
      <c:catAx>
        <c:axId val="696152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96150536"/>
        <c:crosses val="autoZero"/>
        <c:auto val="1"/>
        <c:lblAlgn val="ctr"/>
        <c:lblOffset val="100"/>
        <c:noMultiLvlLbl val="0"/>
      </c:catAx>
      <c:valAx>
        <c:axId val="696150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9615283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pagados según estrato, 2005 - 2018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'c33'!$D$4</c:f>
              <c:strCache>
                <c:ptCount val="1"/>
                <c:pt idx="0">
                  <c:v> Estrato 1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'c33'!$D$5:$D$18</c:f>
              <c:numCache>
                <c:formatCode>#,##0</c:formatCode>
                <c:ptCount val="14"/>
                <c:pt idx="0">
                  <c:v>7045</c:v>
                </c:pt>
                <c:pt idx="1">
                  <c:v>5966</c:v>
                </c:pt>
                <c:pt idx="2">
                  <c:v>7610</c:v>
                </c:pt>
                <c:pt idx="3">
                  <c:v>8876</c:v>
                </c:pt>
                <c:pt idx="4">
                  <c:v>7201</c:v>
                </c:pt>
                <c:pt idx="5">
                  <c:v>7883</c:v>
                </c:pt>
                <c:pt idx="6">
                  <c:v>7565</c:v>
                </c:pt>
                <c:pt idx="7">
                  <c:v>6743</c:v>
                </c:pt>
                <c:pt idx="8">
                  <c:v>7064</c:v>
                </c:pt>
                <c:pt idx="9">
                  <c:v>6678</c:v>
                </c:pt>
                <c:pt idx="10">
                  <c:v>7620</c:v>
                </c:pt>
                <c:pt idx="11">
                  <c:v>8343</c:v>
                </c:pt>
                <c:pt idx="12">
                  <c:v>7990</c:v>
                </c:pt>
                <c:pt idx="13">
                  <c:v>8129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76-48BF-9F79-0FB263240EE3}"/>
            </c:ext>
          </c:extLst>
        </c:ser>
        <c:ser>
          <c:idx val="1"/>
          <c:order val="1"/>
          <c:tx>
            <c:strRef>
              <c:f>'c33'!$E$4</c:f>
              <c:strCache>
                <c:ptCount val="1"/>
                <c:pt idx="0">
                  <c:v> Estrato 2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'c33'!$E$5:$E$18</c:f>
              <c:numCache>
                <c:formatCode>#,##0</c:formatCode>
                <c:ptCount val="14"/>
                <c:pt idx="0">
                  <c:v>2469</c:v>
                </c:pt>
                <c:pt idx="1">
                  <c:v>2376</c:v>
                </c:pt>
                <c:pt idx="2">
                  <c:v>3234</c:v>
                </c:pt>
                <c:pt idx="3">
                  <c:v>3197</c:v>
                </c:pt>
                <c:pt idx="4">
                  <c:v>2133</c:v>
                </c:pt>
                <c:pt idx="5">
                  <c:v>2438</c:v>
                </c:pt>
                <c:pt idx="6">
                  <c:v>2451</c:v>
                </c:pt>
                <c:pt idx="7">
                  <c:v>2313</c:v>
                </c:pt>
                <c:pt idx="8">
                  <c:v>2472</c:v>
                </c:pt>
                <c:pt idx="9">
                  <c:v>2522</c:v>
                </c:pt>
                <c:pt idx="10">
                  <c:v>2671</c:v>
                </c:pt>
                <c:pt idx="11">
                  <c:v>2901</c:v>
                </c:pt>
                <c:pt idx="12">
                  <c:v>2680</c:v>
                </c:pt>
                <c:pt idx="13">
                  <c:v>2847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76-48BF-9F79-0FB263240EE3}"/>
            </c:ext>
          </c:extLst>
        </c:ser>
        <c:ser>
          <c:idx val="2"/>
          <c:order val="2"/>
          <c:tx>
            <c:strRef>
              <c:f>'c33'!$F$4</c:f>
              <c:strCache>
                <c:ptCount val="1"/>
                <c:pt idx="0">
                  <c:v> Estrato 3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'c33'!$F$5:$F$18</c:f>
              <c:numCache>
                <c:formatCode>#,##0</c:formatCode>
                <c:ptCount val="14"/>
                <c:pt idx="0">
                  <c:v>356</c:v>
                </c:pt>
                <c:pt idx="1">
                  <c:v>359</c:v>
                </c:pt>
                <c:pt idx="2">
                  <c:v>514</c:v>
                </c:pt>
                <c:pt idx="3">
                  <c:v>551</c:v>
                </c:pt>
                <c:pt idx="4">
                  <c:v>276</c:v>
                </c:pt>
                <c:pt idx="5">
                  <c:v>332</c:v>
                </c:pt>
                <c:pt idx="6">
                  <c:v>392</c:v>
                </c:pt>
                <c:pt idx="7">
                  <c:v>333</c:v>
                </c:pt>
                <c:pt idx="8">
                  <c:v>388</c:v>
                </c:pt>
                <c:pt idx="9">
                  <c:v>407</c:v>
                </c:pt>
                <c:pt idx="10">
                  <c:v>481</c:v>
                </c:pt>
                <c:pt idx="11">
                  <c:v>473</c:v>
                </c:pt>
                <c:pt idx="12">
                  <c:v>396</c:v>
                </c:pt>
                <c:pt idx="13">
                  <c:v>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C76-48BF-9F79-0FB263240EE3}"/>
            </c:ext>
          </c:extLst>
        </c:ser>
        <c:ser>
          <c:idx val="3"/>
          <c:order val="3"/>
          <c:tx>
            <c:strRef>
              <c:f>'c33'!$G$4</c:f>
              <c:strCache>
                <c:ptCount val="1"/>
                <c:pt idx="0">
                  <c:v> Estrato 4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numRef>
              <c:f>'c33'!$B$5:$B$18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'c33'!$G$5:$G$18</c:f>
              <c:numCache>
                <c:formatCode>#,##0</c:formatCode>
                <c:ptCount val="14"/>
                <c:pt idx="0">
                  <c:v>47</c:v>
                </c:pt>
                <c:pt idx="1">
                  <c:v>55</c:v>
                </c:pt>
                <c:pt idx="2">
                  <c:v>84</c:v>
                </c:pt>
                <c:pt idx="3">
                  <c:v>90</c:v>
                </c:pt>
                <c:pt idx="4">
                  <c:v>32</c:v>
                </c:pt>
                <c:pt idx="5">
                  <c:v>69</c:v>
                </c:pt>
                <c:pt idx="6">
                  <c:v>53</c:v>
                </c:pt>
                <c:pt idx="7">
                  <c:v>67</c:v>
                </c:pt>
                <c:pt idx="8">
                  <c:v>80</c:v>
                </c:pt>
                <c:pt idx="9">
                  <c:v>125</c:v>
                </c:pt>
                <c:pt idx="10">
                  <c:v>76</c:v>
                </c:pt>
                <c:pt idx="11">
                  <c:v>83</c:v>
                </c:pt>
                <c:pt idx="12">
                  <c:v>75</c:v>
                </c:pt>
                <c:pt idx="1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C76-48BF-9F79-0FB263240EE3}"/>
            </c:ext>
          </c:extLst>
        </c:ser>
        <c:ser>
          <c:idx val="4"/>
          <c:order val="4"/>
          <c:tx>
            <c:strRef>
              <c:f>'c33'!$H$4</c:f>
              <c:strCache>
                <c:ptCount val="1"/>
                <c:pt idx="0">
                  <c:v> Estrato 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tint val="50000"/>
                    <a:satMod val="300000"/>
                  </a:schemeClr>
                </a:gs>
                <a:gs pos="35000">
                  <a:schemeClr val="accent5">
                    <a:tint val="37000"/>
                    <a:satMod val="300000"/>
                  </a:schemeClr>
                </a:gs>
                <a:gs pos="100000">
                  <a:schemeClr val="accent5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5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>
                  <a:shade val="95000"/>
                </a:schemeClr>
              </a:contourClr>
            </a:sp3d>
          </c:spPr>
          <c:invertIfNegative val="0"/>
          <c:cat>
            <c:numRef>
              <c:f>'c33'!$B$5:$B$18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'c33'!$H$5:$H$18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32</c:v>
                </c:pt>
                <c:pt idx="9">
                  <c:v>43</c:v>
                </c:pt>
                <c:pt idx="10">
                  <c:v>10</c:v>
                </c:pt>
                <c:pt idx="11">
                  <c:v>17</c:v>
                </c:pt>
                <c:pt idx="12">
                  <c:v>12</c:v>
                </c:pt>
                <c:pt idx="1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C76-48BF-9F79-0FB263240EE3}"/>
            </c:ext>
          </c:extLst>
        </c:ser>
        <c:ser>
          <c:idx val="5"/>
          <c:order val="5"/>
          <c:tx>
            <c:strRef>
              <c:f>'c33'!$I$4</c:f>
              <c:strCache>
                <c:ptCount val="1"/>
                <c:pt idx="0">
                  <c:v> Estrato 6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tint val="50000"/>
                    <a:satMod val="300000"/>
                  </a:schemeClr>
                </a:gs>
                <a:gs pos="35000">
                  <a:schemeClr val="accent6">
                    <a:tint val="37000"/>
                    <a:satMod val="300000"/>
                  </a:schemeClr>
                </a:gs>
                <a:gs pos="100000">
                  <a:schemeClr val="accent6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6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shade val="95000"/>
                </a:schemeClr>
              </a:contourClr>
            </a:sp3d>
          </c:spPr>
          <c:invertIfNegative val="0"/>
          <c:cat>
            <c:numRef>
              <c:f>'c33'!$B$5:$B$18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'c33'!$I$5:$I$18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25</c:v>
                </c:pt>
                <c:pt idx="9">
                  <c:v>29</c:v>
                </c:pt>
                <c:pt idx="10">
                  <c:v>9</c:v>
                </c:pt>
                <c:pt idx="11">
                  <c:v>6</c:v>
                </c:pt>
                <c:pt idx="12">
                  <c:v>2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C76-48BF-9F79-0FB263240E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42141184"/>
        <c:axId val="642138560"/>
        <c:axId val="0"/>
      </c:bar3DChart>
      <c:catAx>
        <c:axId val="64214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2138560"/>
        <c:crosses val="autoZero"/>
        <c:auto val="1"/>
        <c:lblAlgn val="ctr"/>
        <c:lblOffset val="100"/>
        <c:noMultiLvlLbl val="0"/>
      </c:catAx>
      <c:valAx>
        <c:axId val="642138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4214118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Población ocupada en el sector de la construcción, 2015 - 2018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A78-4A3A-B025-33B6B8465C9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A78-4A3A-B025-33B6B8465C9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A78-4A3A-B025-33B6B8465C9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A78-4A3A-B025-33B6B8465C97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78-4A3A-B025-33B6B8465C97}"/>
                </c:ext>
              </c:extLst>
            </c:dLbl>
            <c:dLbl>
              <c:idx val="1"/>
              <c:layout>
                <c:manualLayout>
                  <c:x val="1.9444444444444445E-2"/>
                  <c:y val="-1.38888888888889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78-4A3A-B025-33B6B8465C97}"/>
                </c:ext>
              </c:extLst>
            </c:dLbl>
            <c:dLbl>
              <c:idx val="2"/>
              <c:layout>
                <c:manualLayout>
                  <c:x val="3.3333333333333333E-2"/>
                  <c:y val="-2.31481481481481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78-4A3A-B025-33B6B8465C97}"/>
                </c:ext>
              </c:extLst>
            </c:dLbl>
            <c:dLbl>
              <c:idx val="3"/>
              <c:layout>
                <c:manualLayout>
                  <c:x val="2.5000000000000001E-2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78-4A3A-B025-33B6B8465C9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'c2'!$B$7:$B$10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'c2'!$E$7:$E$10</c:f>
              <c:numCache>
                <c:formatCode>#,##0</c:formatCode>
                <c:ptCount val="4"/>
                <c:pt idx="0">
                  <c:v>143058</c:v>
                </c:pt>
                <c:pt idx="1">
                  <c:v>133581</c:v>
                </c:pt>
                <c:pt idx="2">
                  <c:v>125889</c:v>
                </c:pt>
                <c:pt idx="3">
                  <c:v>173613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8-4A3A-B025-33B6B8465C9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pagados por modalidad de presupuesto,    2005 - 2018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'c34'!$D$4</c:f>
              <c:strCache>
                <c:ptCount val="1"/>
                <c:pt idx="0">
                  <c:v>Ahorro, Bono, Crédito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'c34'!$B$5:$B$18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'c34'!$D$5:$D$18</c:f>
              <c:numCache>
                <c:formatCode>#,##0</c:formatCode>
                <c:ptCount val="14"/>
                <c:pt idx="0">
                  <c:v>397</c:v>
                </c:pt>
                <c:pt idx="1">
                  <c:v>606</c:v>
                </c:pt>
                <c:pt idx="2">
                  <c:v>535</c:v>
                </c:pt>
                <c:pt idx="3">
                  <c:v>425</c:v>
                </c:pt>
                <c:pt idx="4">
                  <c:v>94</c:v>
                </c:pt>
                <c:pt idx="5">
                  <c:v>76</c:v>
                </c:pt>
                <c:pt idx="6">
                  <c:v>44</c:v>
                </c:pt>
                <c:pt idx="7">
                  <c:v>79</c:v>
                </c:pt>
                <c:pt idx="8">
                  <c:v>56</c:v>
                </c:pt>
                <c:pt idx="9">
                  <c:v>60</c:v>
                </c:pt>
                <c:pt idx="10">
                  <c:v>117</c:v>
                </c:pt>
                <c:pt idx="11">
                  <c:v>407</c:v>
                </c:pt>
                <c:pt idx="12">
                  <c:v>299</c:v>
                </c:pt>
                <c:pt idx="13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B3-42BF-8E3B-3628543E605A}"/>
            </c:ext>
          </c:extLst>
        </c:ser>
        <c:ser>
          <c:idx val="1"/>
          <c:order val="1"/>
          <c:tx>
            <c:strRef>
              <c:f>'c34'!$E$4</c:f>
              <c:strCache>
                <c:ptCount val="1"/>
                <c:pt idx="0">
                  <c:v>Impedimento físico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'c34'!$B$5:$B$18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'c34'!$E$5:$E$18</c:f>
              <c:numCache>
                <c:formatCode>#,##0</c:formatCode>
                <c:ptCount val="14"/>
                <c:pt idx="0">
                  <c:v>749</c:v>
                </c:pt>
                <c:pt idx="1">
                  <c:v>591</c:v>
                </c:pt>
                <c:pt idx="2">
                  <c:v>589</c:v>
                </c:pt>
                <c:pt idx="3">
                  <c:v>560</c:v>
                </c:pt>
                <c:pt idx="4">
                  <c:v>414</c:v>
                </c:pt>
                <c:pt idx="5">
                  <c:v>383</c:v>
                </c:pt>
                <c:pt idx="6">
                  <c:v>323</c:v>
                </c:pt>
                <c:pt idx="7">
                  <c:v>277</c:v>
                </c:pt>
                <c:pt idx="8">
                  <c:v>286</c:v>
                </c:pt>
                <c:pt idx="9">
                  <c:v>352</c:v>
                </c:pt>
                <c:pt idx="10">
                  <c:v>342</c:v>
                </c:pt>
                <c:pt idx="11">
                  <c:v>413</c:v>
                </c:pt>
                <c:pt idx="12">
                  <c:v>316</c:v>
                </c:pt>
                <c:pt idx="13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B3-42BF-8E3B-3628543E605A}"/>
            </c:ext>
          </c:extLst>
        </c:ser>
        <c:ser>
          <c:idx val="2"/>
          <c:order val="2"/>
          <c:tx>
            <c:strRef>
              <c:f>'c34'!$F$4</c:f>
              <c:strCache>
                <c:ptCount val="1"/>
                <c:pt idx="0">
                  <c:v>Emergencia, Extrema necesidad e Indígenas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'c34'!$B$5:$B$18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'c34'!$F$5:$F$18</c:f>
              <c:numCache>
                <c:formatCode>#,##0</c:formatCode>
                <c:ptCount val="14"/>
                <c:pt idx="0">
                  <c:v>892</c:v>
                </c:pt>
                <c:pt idx="1">
                  <c:v>973</c:v>
                </c:pt>
                <c:pt idx="2">
                  <c:v>468</c:v>
                </c:pt>
                <c:pt idx="3">
                  <c:v>1189</c:v>
                </c:pt>
                <c:pt idx="4">
                  <c:v>2437</c:v>
                </c:pt>
                <c:pt idx="5">
                  <c:v>3224</c:v>
                </c:pt>
                <c:pt idx="6">
                  <c:v>2625</c:v>
                </c:pt>
                <c:pt idx="7">
                  <c:v>2554</c:v>
                </c:pt>
                <c:pt idx="8">
                  <c:v>2199</c:v>
                </c:pt>
                <c:pt idx="9">
                  <c:v>1496</c:v>
                </c:pt>
                <c:pt idx="10">
                  <c:v>1522</c:v>
                </c:pt>
                <c:pt idx="11">
                  <c:v>1698</c:v>
                </c:pt>
                <c:pt idx="12">
                  <c:v>1866</c:v>
                </c:pt>
                <c:pt idx="13">
                  <c:v>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B3-42BF-8E3B-3628543E605A}"/>
            </c:ext>
          </c:extLst>
        </c:ser>
        <c:ser>
          <c:idx val="3"/>
          <c:order val="3"/>
          <c:tx>
            <c:strRef>
              <c:f>'c34'!$G$4</c:f>
              <c:strCache>
                <c:ptCount val="1"/>
                <c:pt idx="0">
                  <c:v>Erradicación de tugurios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numRef>
              <c:f>'c34'!$B$5:$B$18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'c34'!$G$5:$G$18</c:f>
              <c:numCache>
                <c:formatCode>#,##0</c:formatCode>
                <c:ptCount val="14"/>
                <c:pt idx="0">
                  <c:v>442</c:v>
                </c:pt>
                <c:pt idx="1">
                  <c:v>149</c:v>
                </c:pt>
                <c:pt idx="2">
                  <c:v>182</c:v>
                </c:pt>
                <c:pt idx="3">
                  <c:v>183</c:v>
                </c:pt>
                <c:pt idx="4">
                  <c:v>1548</c:v>
                </c:pt>
                <c:pt idx="5">
                  <c:v>1663</c:v>
                </c:pt>
                <c:pt idx="6">
                  <c:v>1913</c:v>
                </c:pt>
                <c:pt idx="7">
                  <c:v>1669</c:v>
                </c:pt>
                <c:pt idx="8">
                  <c:v>1665</c:v>
                </c:pt>
                <c:pt idx="9">
                  <c:v>1755</c:v>
                </c:pt>
                <c:pt idx="10">
                  <c:v>1840</c:v>
                </c:pt>
                <c:pt idx="11">
                  <c:v>2020</c:v>
                </c:pt>
                <c:pt idx="12">
                  <c:v>1861</c:v>
                </c:pt>
                <c:pt idx="13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B3-42BF-8E3B-3628543E605A}"/>
            </c:ext>
          </c:extLst>
        </c:ser>
        <c:ser>
          <c:idx val="4"/>
          <c:order val="4"/>
          <c:tx>
            <c:strRef>
              <c:f>'c34'!$H$4</c:f>
              <c:strCache>
                <c:ptCount val="1"/>
                <c:pt idx="0">
                  <c:v>Regular </c:v>
                </c:pt>
              </c:strCache>
            </c:strRef>
          </c:tx>
          <c:spPr>
            <a:solidFill>
              <a:schemeClr val="accent5"/>
            </a:solidFill>
            <a:ln w="9525" cap="flat" cmpd="sng" algn="ctr">
              <a:solidFill>
                <a:schemeClr val="accent5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5"/>
              </a:contourClr>
            </a:sp3d>
          </c:spPr>
          <c:invertIfNegative val="0"/>
          <c:cat>
            <c:numRef>
              <c:f>'c34'!$B$5:$B$18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'c34'!$H$5:$H$18</c:f>
              <c:numCache>
                <c:formatCode>#,##0</c:formatCode>
                <c:ptCount val="14"/>
                <c:pt idx="0">
                  <c:v>7263</c:v>
                </c:pt>
                <c:pt idx="1">
                  <c:v>6282</c:v>
                </c:pt>
                <c:pt idx="2">
                  <c:v>9519</c:v>
                </c:pt>
                <c:pt idx="3">
                  <c:v>10229</c:v>
                </c:pt>
                <c:pt idx="4">
                  <c:v>4941</c:v>
                </c:pt>
                <c:pt idx="5">
                  <c:v>5052</c:v>
                </c:pt>
                <c:pt idx="6">
                  <c:v>5276</c:v>
                </c:pt>
                <c:pt idx="7">
                  <c:v>4655</c:v>
                </c:pt>
                <c:pt idx="8">
                  <c:v>5533</c:v>
                </c:pt>
                <c:pt idx="9">
                  <c:v>5757</c:v>
                </c:pt>
                <c:pt idx="10">
                  <c:v>6639</c:v>
                </c:pt>
                <c:pt idx="11">
                  <c:v>6734</c:v>
                </c:pt>
                <c:pt idx="12">
                  <c:v>6229</c:v>
                </c:pt>
                <c:pt idx="13">
                  <c:v>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B3-42BF-8E3B-3628543E605A}"/>
            </c:ext>
          </c:extLst>
        </c:ser>
        <c:ser>
          <c:idx val="5"/>
          <c:order val="5"/>
          <c:tx>
            <c:strRef>
              <c:f>'c34'!$I$4</c:f>
              <c:strCache>
                <c:ptCount val="1"/>
                <c:pt idx="0">
                  <c:v>Adulto Mayor</c:v>
                </c:pt>
              </c:strCache>
            </c:strRef>
          </c:tx>
          <c:spPr>
            <a:solidFill>
              <a:schemeClr val="accent4"/>
            </a:solidFill>
            <a:ln w="9525" cap="flat" cmpd="sng" algn="ctr">
              <a:solidFill>
                <a:schemeClr val="accent4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/>
              </a:contourClr>
            </a:sp3d>
          </c:spPr>
          <c:invertIfNegative val="0"/>
          <c:cat>
            <c:numRef>
              <c:f>'c34'!$B$5:$B$18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'c34'!$I$5:$I$18</c:f>
              <c:numCache>
                <c:formatCode>#,##0</c:formatCode>
                <c:ptCount val="14"/>
                <c:pt idx="0">
                  <c:v>174</c:v>
                </c:pt>
                <c:pt idx="1">
                  <c:v>155</c:v>
                </c:pt>
                <c:pt idx="2">
                  <c:v>149</c:v>
                </c:pt>
                <c:pt idx="3">
                  <c:v>128</c:v>
                </c:pt>
                <c:pt idx="4">
                  <c:v>208</c:v>
                </c:pt>
                <c:pt idx="5">
                  <c:v>324</c:v>
                </c:pt>
                <c:pt idx="6">
                  <c:v>280</c:v>
                </c:pt>
                <c:pt idx="7">
                  <c:v>229</c:v>
                </c:pt>
                <c:pt idx="8">
                  <c:v>322</c:v>
                </c:pt>
                <c:pt idx="9">
                  <c:v>384</c:v>
                </c:pt>
                <c:pt idx="10">
                  <c:v>407</c:v>
                </c:pt>
                <c:pt idx="11">
                  <c:v>551</c:v>
                </c:pt>
                <c:pt idx="12">
                  <c:v>584</c:v>
                </c:pt>
                <c:pt idx="13">
                  <c:v>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B3-42BF-8E3B-3628543E6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63209744"/>
        <c:axId val="763210400"/>
        <c:axId val="0"/>
      </c:bar3DChart>
      <c:catAx>
        <c:axId val="76320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63210400"/>
        <c:crosses val="autoZero"/>
        <c:auto val="1"/>
        <c:lblAlgn val="ctr"/>
        <c:lblOffset val="100"/>
        <c:noMultiLvlLbl val="0"/>
      </c:catAx>
      <c:valAx>
        <c:axId val="763210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632097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pagados por propósito, 2005 - 2018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'c35'!$D$4</c:f>
              <c:strCache>
                <c:ptCount val="1"/>
                <c:pt idx="0">
                  <c:v>Lote y Construcción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'c35'!$B$5:$B$18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'c35'!$D$5:$D$18</c:f>
              <c:numCache>
                <c:formatCode>#,##0</c:formatCode>
                <c:ptCount val="14"/>
                <c:pt idx="0">
                  <c:v>1842</c:v>
                </c:pt>
                <c:pt idx="1">
                  <c:v>1586</c:v>
                </c:pt>
                <c:pt idx="2">
                  <c:v>1306</c:v>
                </c:pt>
                <c:pt idx="3">
                  <c:v>1140</c:v>
                </c:pt>
                <c:pt idx="4">
                  <c:v>895</c:v>
                </c:pt>
                <c:pt idx="5">
                  <c:v>942</c:v>
                </c:pt>
                <c:pt idx="6">
                  <c:v>1098</c:v>
                </c:pt>
                <c:pt idx="7">
                  <c:v>1102</c:v>
                </c:pt>
                <c:pt idx="8">
                  <c:v>1325</c:v>
                </c:pt>
                <c:pt idx="9">
                  <c:v>1211</c:v>
                </c:pt>
                <c:pt idx="10">
                  <c:v>1283</c:v>
                </c:pt>
                <c:pt idx="11">
                  <c:v>1815</c:v>
                </c:pt>
                <c:pt idx="12">
                  <c:v>2020</c:v>
                </c:pt>
                <c:pt idx="13">
                  <c:v>2093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EC-4457-9824-D763E3383442}"/>
            </c:ext>
          </c:extLst>
        </c:ser>
        <c:ser>
          <c:idx val="1"/>
          <c:order val="1"/>
          <c:tx>
            <c:strRef>
              <c:f>'c35'!$E$4</c:f>
              <c:strCache>
                <c:ptCount val="1"/>
                <c:pt idx="0">
                  <c:v>Construcción en lote propio y Segunda planta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'c35'!$B$5:$B$18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'c35'!$E$5:$E$18</c:f>
              <c:numCache>
                <c:formatCode>#,##0</c:formatCode>
                <c:ptCount val="14"/>
                <c:pt idx="0">
                  <c:v>6941</c:v>
                </c:pt>
                <c:pt idx="1">
                  <c:v>6230</c:v>
                </c:pt>
                <c:pt idx="2">
                  <c:v>8549</c:v>
                </c:pt>
                <c:pt idx="3">
                  <c:v>9486</c:v>
                </c:pt>
                <c:pt idx="4">
                  <c:v>6403</c:v>
                </c:pt>
                <c:pt idx="5">
                  <c:v>7064</c:v>
                </c:pt>
                <c:pt idx="6">
                  <c:v>6786</c:v>
                </c:pt>
                <c:pt idx="7">
                  <c:v>6409</c:v>
                </c:pt>
                <c:pt idx="8">
                  <c:v>7097</c:v>
                </c:pt>
                <c:pt idx="9">
                  <c:v>6978</c:v>
                </c:pt>
                <c:pt idx="10">
                  <c:v>7893</c:v>
                </c:pt>
                <c:pt idx="11">
                  <c:v>8339</c:v>
                </c:pt>
                <c:pt idx="12">
                  <c:v>7717</c:v>
                </c:pt>
                <c:pt idx="13">
                  <c:v>7616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EC-4457-9824-D763E3383442}"/>
            </c:ext>
          </c:extLst>
        </c:ser>
        <c:ser>
          <c:idx val="2"/>
          <c:order val="2"/>
          <c:tx>
            <c:strRef>
              <c:f>'c35'!$F$4</c:f>
              <c:strCache>
                <c:ptCount val="1"/>
                <c:pt idx="0">
                  <c:v>Compra de vivienda existente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'c35'!$B$5:$B$18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'c35'!$F$5:$F$18</c:f>
              <c:numCache>
                <c:formatCode>#,##0</c:formatCode>
                <c:ptCount val="14"/>
                <c:pt idx="0">
                  <c:v>638</c:v>
                </c:pt>
                <c:pt idx="1">
                  <c:v>647</c:v>
                </c:pt>
                <c:pt idx="2">
                  <c:v>966</c:v>
                </c:pt>
                <c:pt idx="3">
                  <c:v>1314</c:v>
                </c:pt>
                <c:pt idx="4">
                  <c:v>1498</c:v>
                </c:pt>
                <c:pt idx="5">
                  <c:v>1877</c:v>
                </c:pt>
                <c:pt idx="6">
                  <c:v>1724</c:v>
                </c:pt>
                <c:pt idx="7">
                  <c:v>1290</c:v>
                </c:pt>
                <c:pt idx="8">
                  <c:v>925</c:v>
                </c:pt>
                <c:pt idx="9">
                  <c:v>811</c:v>
                </c:pt>
                <c:pt idx="10">
                  <c:v>731</c:v>
                </c:pt>
                <c:pt idx="11">
                  <c:v>621</c:v>
                </c:pt>
                <c:pt idx="12">
                  <c:v>392</c:v>
                </c:pt>
                <c:pt idx="13">
                  <c:v>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AEC-4457-9824-D763E3383442}"/>
            </c:ext>
          </c:extLst>
        </c:ser>
        <c:ser>
          <c:idx val="3"/>
          <c:order val="3"/>
          <c:tx>
            <c:strRef>
              <c:f>'c35'!$G$4</c:f>
              <c:strCache>
                <c:ptCount val="1"/>
                <c:pt idx="0">
                  <c:v>Compra de lote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tint val="50000"/>
                    <a:satMod val="300000"/>
                  </a:schemeClr>
                </a:gs>
                <a:gs pos="35000">
                  <a:schemeClr val="accent4">
                    <a:tint val="37000"/>
                    <a:satMod val="300000"/>
                  </a:schemeClr>
                </a:gs>
                <a:gs pos="100000">
                  <a:schemeClr val="accent4">
                    <a:tint val="15000"/>
                    <a:satMod val="350000"/>
                  </a:schemeClr>
                </a:gs>
              </a:gsLst>
              <a:lin ang="16200000" scaled="1"/>
            </a:gradFill>
            <a:ln w="9525" cap="flat" cmpd="sng" algn="ctr">
              <a:solidFill>
                <a:schemeClr val="accent4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4">
                  <a:shade val="95000"/>
                </a:schemeClr>
              </a:contourClr>
            </a:sp3d>
          </c:spPr>
          <c:invertIfNegative val="0"/>
          <c:cat>
            <c:numRef>
              <c:f>'c35'!$B$5:$B$18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'c35'!$G$5:$G$18</c:f>
              <c:numCache>
                <c:formatCode>#,##0</c:formatCode>
                <c:ptCount val="14"/>
                <c:pt idx="0">
                  <c:v>3</c:v>
                </c:pt>
                <c:pt idx="1">
                  <c:v>24</c:v>
                </c:pt>
                <c:pt idx="2">
                  <c:v>11</c:v>
                </c:pt>
                <c:pt idx="3">
                  <c:v>2</c:v>
                </c:pt>
                <c:pt idx="4">
                  <c:v>12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EC-4457-9824-D763E3383442}"/>
            </c:ext>
          </c:extLst>
        </c:ser>
        <c:ser>
          <c:idx val="4"/>
          <c:order val="4"/>
          <c:tx>
            <c:strRef>
              <c:f>'c35'!$H$4</c:f>
              <c:strCache>
                <c:ptCount val="1"/>
                <c:pt idx="0">
                  <c:v>Ampliación Reparación y Mejoras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numRef>
              <c:f>'c35'!$B$5:$B$18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'c35'!$H$5:$H$18</c:f>
              <c:numCache>
                <c:formatCode>#,##0</c:formatCode>
                <c:ptCount val="14"/>
                <c:pt idx="0">
                  <c:v>493</c:v>
                </c:pt>
                <c:pt idx="1">
                  <c:v>269</c:v>
                </c:pt>
                <c:pt idx="2">
                  <c:v>610</c:v>
                </c:pt>
                <c:pt idx="3">
                  <c:v>772</c:v>
                </c:pt>
                <c:pt idx="4">
                  <c:v>834</c:v>
                </c:pt>
                <c:pt idx="5">
                  <c:v>837</c:v>
                </c:pt>
                <c:pt idx="6">
                  <c:v>853</c:v>
                </c:pt>
                <c:pt idx="7">
                  <c:v>662</c:v>
                </c:pt>
                <c:pt idx="8">
                  <c:v>714</c:v>
                </c:pt>
                <c:pt idx="9">
                  <c:v>804</c:v>
                </c:pt>
                <c:pt idx="10">
                  <c:v>960</c:v>
                </c:pt>
                <c:pt idx="11">
                  <c:v>1048</c:v>
                </c:pt>
                <c:pt idx="12">
                  <c:v>1026</c:v>
                </c:pt>
                <c:pt idx="13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AEC-4457-9824-D763E33834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773660888"/>
        <c:axId val="773661216"/>
        <c:axId val="0"/>
      </c:bar3DChart>
      <c:catAx>
        <c:axId val="7736608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73661216"/>
        <c:crosses val="autoZero"/>
        <c:auto val="1"/>
        <c:lblAlgn val="ctr"/>
        <c:lblOffset val="100"/>
        <c:noMultiLvlLbl val="0"/>
      </c:catAx>
      <c:valAx>
        <c:axId val="77366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7736608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por grupo de edad del jefe de familia, 2005 - 2018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1"/>
          <c:order val="0"/>
          <c:tx>
            <c:strRef>
              <c:f>'c37'!$E$5</c:f>
              <c:strCache>
                <c:ptCount val="1"/>
                <c:pt idx="0">
                  <c:v>18 a 35 años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'c37'!$B$6:$B$19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'c37'!$E$6:$E$19</c:f>
              <c:numCache>
                <c:formatCode>#,##0</c:formatCode>
                <c:ptCount val="14"/>
                <c:pt idx="0">
                  <c:v>4854</c:v>
                </c:pt>
                <c:pt idx="1">
                  <c:v>4398</c:v>
                </c:pt>
                <c:pt idx="2">
                  <c:v>5582</c:v>
                </c:pt>
                <c:pt idx="3">
                  <c:v>6310</c:v>
                </c:pt>
                <c:pt idx="4">
                  <c:v>4703</c:v>
                </c:pt>
                <c:pt idx="5">
                  <c:v>5476</c:v>
                </c:pt>
                <c:pt idx="6">
                  <c:v>5417</c:v>
                </c:pt>
                <c:pt idx="7">
                  <c:v>4967</c:v>
                </c:pt>
                <c:pt idx="8">
                  <c:v>5324</c:v>
                </c:pt>
                <c:pt idx="9">
                  <c:v>5289</c:v>
                </c:pt>
                <c:pt idx="10">
                  <c:v>5925</c:v>
                </c:pt>
                <c:pt idx="11">
                  <c:v>6096</c:v>
                </c:pt>
                <c:pt idx="12">
                  <c:v>5925</c:v>
                </c:pt>
                <c:pt idx="13">
                  <c:v>5956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27-4430-BB95-E5A79438C7BE}"/>
            </c:ext>
          </c:extLst>
        </c:ser>
        <c:ser>
          <c:idx val="2"/>
          <c:order val="1"/>
          <c:tx>
            <c:strRef>
              <c:f>'c37'!$F$5</c:f>
              <c:strCache>
                <c:ptCount val="1"/>
                <c:pt idx="0">
                  <c:v>36 a 64 años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'c37'!$B$6:$B$19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'c37'!$F$6:$F$19</c:f>
              <c:numCache>
                <c:formatCode>#,##0</c:formatCode>
                <c:ptCount val="14"/>
                <c:pt idx="0">
                  <c:v>4243</c:v>
                </c:pt>
                <c:pt idx="1">
                  <c:v>3668</c:v>
                </c:pt>
                <c:pt idx="2">
                  <c:v>4987</c:v>
                </c:pt>
                <c:pt idx="3">
                  <c:v>5490</c:v>
                </c:pt>
                <c:pt idx="4">
                  <c:v>4131</c:v>
                </c:pt>
                <c:pt idx="5">
                  <c:v>4340</c:v>
                </c:pt>
                <c:pt idx="6">
                  <c:v>4181</c:v>
                </c:pt>
                <c:pt idx="7">
                  <c:v>3808</c:v>
                </c:pt>
                <c:pt idx="8">
                  <c:v>3931</c:v>
                </c:pt>
                <c:pt idx="9">
                  <c:v>3699</c:v>
                </c:pt>
                <c:pt idx="10">
                  <c:v>4009</c:v>
                </c:pt>
                <c:pt idx="11">
                  <c:v>4631</c:v>
                </c:pt>
                <c:pt idx="12">
                  <c:v>4147</c:v>
                </c:pt>
                <c:pt idx="13">
                  <c:v>4420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27-4430-BB95-E5A79438C7BE}"/>
            </c:ext>
          </c:extLst>
        </c:ser>
        <c:ser>
          <c:idx val="3"/>
          <c:order val="2"/>
          <c:tx>
            <c:strRef>
              <c:f>'c37'!$G$5</c:f>
              <c:strCache>
                <c:ptCount val="1"/>
                <c:pt idx="0">
                  <c:v>65 años y más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numRef>
              <c:f>'c37'!$B$6:$B$19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'c37'!$G$6:$G$19</c:f>
              <c:numCache>
                <c:formatCode>#,##0</c:formatCode>
                <c:ptCount val="14"/>
                <c:pt idx="0">
                  <c:v>819</c:v>
                </c:pt>
                <c:pt idx="1">
                  <c:v>685</c:v>
                </c:pt>
                <c:pt idx="2">
                  <c:v>873</c:v>
                </c:pt>
                <c:pt idx="3">
                  <c:v>914</c:v>
                </c:pt>
                <c:pt idx="4">
                  <c:v>808</c:v>
                </c:pt>
                <c:pt idx="5">
                  <c:v>904</c:v>
                </c:pt>
                <c:pt idx="6">
                  <c:v>862</c:v>
                </c:pt>
                <c:pt idx="7">
                  <c:v>684</c:v>
                </c:pt>
                <c:pt idx="8">
                  <c:v>800</c:v>
                </c:pt>
                <c:pt idx="9">
                  <c:v>812</c:v>
                </c:pt>
                <c:pt idx="10">
                  <c:v>923</c:v>
                </c:pt>
                <c:pt idx="11">
                  <c:v>1089</c:v>
                </c:pt>
                <c:pt idx="12">
                  <c:v>1082</c:v>
                </c:pt>
                <c:pt idx="13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227-4430-BB95-E5A79438C7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451862168"/>
        <c:axId val="451862496"/>
        <c:axId val="0"/>
      </c:bar3DChart>
      <c:catAx>
        <c:axId val="451862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1862496"/>
        <c:crosses val="autoZero"/>
        <c:auto val="1"/>
        <c:lblAlgn val="ctr"/>
        <c:lblOffset val="100"/>
        <c:noMultiLvlLbl val="0"/>
      </c:catAx>
      <c:valAx>
        <c:axId val="451862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5186216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pagados a nacionales y extranjeros, 2005 - 2018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'c38'!$D$4</c:f>
              <c:strCache>
                <c:ptCount val="1"/>
                <c:pt idx="0">
                  <c:v>Bonos pagados a extranjeros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'c38'!$B$5:$B$18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'c38'!$D$5:$D$18</c:f>
              <c:numCache>
                <c:formatCode>#,##0</c:formatCode>
                <c:ptCount val="14"/>
                <c:pt idx="0">
                  <c:v>336</c:v>
                </c:pt>
                <c:pt idx="1">
                  <c:v>366</c:v>
                </c:pt>
                <c:pt idx="2">
                  <c:v>477</c:v>
                </c:pt>
                <c:pt idx="3">
                  <c:v>516</c:v>
                </c:pt>
                <c:pt idx="4">
                  <c:v>446</c:v>
                </c:pt>
                <c:pt idx="5">
                  <c:v>431</c:v>
                </c:pt>
                <c:pt idx="6">
                  <c:v>557</c:v>
                </c:pt>
                <c:pt idx="7">
                  <c:v>539</c:v>
                </c:pt>
                <c:pt idx="8">
                  <c:v>606</c:v>
                </c:pt>
                <c:pt idx="9">
                  <c:v>601</c:v>
                </c:pt>
                <c:pt idx="10">
                  <c:v>764</c:v>
                </c:pt>
                <c:pt idx="11">
                  <c:v>974</c:v>
                </c:pt>
                <c:pt idx="12">
                  <c:v>920</c:v>
                </c:pt>
                <c:pt idx="13">
                  <c:v>1036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5-46AE-AB6D-1FAA79DAE9CB}"/>
            </c:ext>
          </c:extLst>
        </c:ser>
        <c:ser>
          <c:idx val="1"/>
          <c:order val="1"/>
          <c:tx>
            <c:strRef>
              <c:f>'c38'!$E$4</c:f>
              <c:strCache>
                <c:ptCount val="1"/>
                <c:pt idx="0">
                  <c:v>Bonos pagados a nacionales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'c38'!$B$5:$B$18</c:f>
              <c:numCache>
                <c:formatCode>General</c:formatCode>
                <c:ptCount val="14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</c:numCache>
            </c:numRef>
          </c:cat>
          <c:val>
            <c:numRef>
              <c:f>'c38'!$E$5:$E$18</c:f>
              <c:numCache>
                <c:formatCode>#,##0</c:formatCode>
                <c:ptCount val="14"/>
                <c:pt idx="0">
                  <c:v>9581</c:v>
                </c:pt>
                <c:pt idx="1">
                  <c:v>8390</c:v>
                </c:pt>
                <c:pt idx="2">
                  <c:v>10965</c:v>
                </c:pt>
                <c:pt idx="3">
                  <c:v>12198</c:v>
                </c:pt>
                <c:pt idx="4">
                  <c:v>9196</c:v>
                </c:pt>
                <c:pt idx="5">
                  <c:v>10291</c:v>
                </c:pt>
                <c:pt idx="6">
                  <c:v>9904</c:v>
                </c:pt>
                <c:pt idx="7">
                  <c:v>8924</c:v>
                </c:pt>
                <c:pt idx="8">
                  <c:v>9455</c:v>
                </c:pt>
                <c:pt idx="9">
                  <c:v>9203</c:v>
                </c:pt>
                <c:pt idx="10">
                  <c:v>10103</c:v>
                </c:pt>
                <c:pt idx="11">
                  <c:v>10849</c:v>
                </c:pt>
                <c:pt idx="12">
                  <c:v>10235</c:v>
                </c:pt>
                <c:pt idx="13">
                  <c:v>10425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A5-46AE-AB6D-1FAA79DAE9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36159528"/>
        <c:axId val="636160184"/>
        <c:axId val="0"/>
      </c:bar3DChart>
      <c:catAx>
        <c:axId val="6361595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36160184"/>
        <c:crosses val="autoZero"/>
        <c:auto val="1"/>
        <c:lblAlgn val="ctr"/>
        <c:lblOffset val="100"/>
        <c:noMultiLvlLbl val="0"/>
      </c:catAx>
      <c:valAx>
        <c:axId val="636160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361595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bonos familiares para la vivienda dentro y fuera de la GAM, 2010 - 2018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Dentro de la GAM</c:v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numRef>
              <c:f>'c46'!$B$6:$B$14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'c46'!$D$6:$D$14</c:f>
              <c:numCache>
                <c:formatCode>#,##0</c:formatCode>
                <c:ptCount val="9"/>
                <c:pt idx="0">
                  <c:v>3359</c:v>
                </c:pt>
                <c:pt idx="1">
                  <c:v>3441</c:v>
                </c:pt>
                <c:pt idx="2">
                  <c:v>3081</c:v>
                </c:pt>
                <c:pt idx="3">
                  <c:v>3204</c:v>
                </c:pt>
                <c:pt idx="4">
                  <c:v>3014</c:v>
                </c:pt>
                <c:pt idx="5">
                  <c:v>2977</c:v>
                </c:pt>
                <c:pt idx="6">
                  <c:v>2875</c:v>
                </c:pt>
                <c:pt idx="7">
                  <c:v>2431</c:v>
                </c:pt>
                <c:pt idx="8">
                  <c:v>2599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58-4D80-827E-AAF785A31B91}"/>
            </c:ext>
          </c:extLst>
        </c:ser>
        <c:ser>
          <c:idx val="1"/>
          <c:order val="1"/>
          <c:tx>
            <c:v>Fuera de la GAM</c:v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numRef>
              <c:f>'c46'!$B$6:$B$14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'c46'!$E$6:$E$14</c:f>
              <c:numCache>
                <c:formatCode>#,##0</c:formatCode>
                <c:ptCount val="9"/>
                <c:pt idx="0">
                  <c:v>7363</c:v>
                </c:pt>
                <c:pt idx="1">
                  <c:v>7020</c:v>
                </c:pt>
                <c:pt idx="2">
                  <c:v>6382</c:v>
                </c:pt>
                <c:pt idx="3">
                  <c:v>6857</c:v>
                </c:pt>
                <c:pt idx="4">
                  <c:v>6790</c:v>
                </c:pt>
                <c:pt idx="5">
                  <c:v>7890</c:v>
                </c:pt>
                <c:pt idx="6">
                  <c:v>8948</c:v>
                </c:pt>
                <c:pt idx="7">
                  <c:v>8724</c:v>
                </c:pt>
                <c:pt idx="8">
                  <c:v>8862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58-4D80-827E-AAF785A31B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8686080"/>
        <c:axId val="578691328"/>
        <c:axId val="0"/>
      </c:bar3DChart>
      <c:catAx>
        <c:axId val="57868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8691328"/>
        <c:crosses val="autoZero"/>
        <c:auto val="1"/>
        <c:lblAlgn val="ctr"/>
        <c:lblOffset val="100"/>
        <c:noMultiLvlLbl val="0"/>
      </c:catAx>
      <c:valAx>
        <c:axId val="578691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86860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Variación porcentual del Producto Interno Bruto por actividad</a:t>
            </a:r>
            <a:r>
              <a:rPr lang="es-CR" b="1" baseline="0"/>
              <a:t> económica, 2017 - 2018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'c55'!$B$7</c:f>
              <c:strCache>
                <c:ptCount val="1"/>
                <c:pt idx="0">
                  <c:v>  Salud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986934790250905E-2"/>
                  <c:y val="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3F89-4EF2-98A1-6BA7A333A0AD}"/>
                </c:ext>
              </c:extLst>
            </c:dLbl>
            <c:dLbl>
              <c:idx val="1"/>
              <c:layout>
                <c:manualLayout>
                  <c:x val="-7.3347024975352155E-3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89-4EF2-98A1-6BA7A333A0AD}"/>
                </c:ext>
              </c:extLst>
            </c:dLbl>
            <c:dLbl>
              <c:idx val="2"/>
              <c:layout>
                <c:manualLayout>
                  <c:x val="-2.0762027103107629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89-4EF2-98A1-6BA7A333A0AD}"/>
                </c:ext>
              </c:extLst>
            </c:dLbl>
            <c:dLbl>
              <c:idx val="3"/>
              <c:layout>
                <c:manualLayout>
                  <c:x val="-2.1137992192063654E-2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89-4EF2-98A1-6BA7A333A0AD}"/>
                </c:ext>
              </c:extLst>
            </c:dLbl>
            <c:dLbl>
              <c:idx val="4"/>
              <c:layout>
                <c:manualLayout>
                  <c:x val="-2.076202710310758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89-4EF2-98A1-6BA7A333A0AD}"/>
                </c:ext>
              </c:extLst>
            </c:dLbl>
            <c:dLbl>
              <c:idx val="5"/>
              <c:layout>
                <c:manualLayout>
                  <c:x val="-1.6733829721435976E-2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89-4EF2-98A1-6BA7A333A0AD}"/>
                </c:ext>
              </c:extLst>
            </c:dLbl>
            <c:dLbl>
              <c:idx val="6"/>
              <c:layout>
                <c:manualLayout>
                  <c:x val="-1.6733829721435878E-2"/>
                  <c:y val="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F89-4EF2-98A1-6BA7A333A0AD}"/>
                </c:ext>
              </c:extLst>
            </c:dLbl>
            <c:dLbl>
              <c:idx val="7"/>
              <c:layout>
                <c:manualLayout>
                  <c:x val="-2.2104759563664814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F89-4EF2-98A1-6BA7A333A0AD}"/>
                </c:ext>
              </c:extLst>
            </c:dLbl>
            <c:dLbl>
              <c:idx val="8"/>
              <c:layout>
                <c:manualLayout>
                  <c:x val="-2.2104759563664814E-2"/>
                  <c:y val="-2.574002574002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F89-4EF2-98A1-6BA7A333A0AD}"/>
                </c:ext>
              </c:extLst>
            </c:dLbl>
            <c:dLbl>
              <c:idx val="9"/>
              <c:layout>
                <c:manualLayout>
                  <c:x val="-2.2104759563664814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F89-4EF2-98A1-6BA7A333A0AD}"/>
                </c:ext>
              </c:extLst>
            </c:dLbl>
            <c:dLbl>
              <c:idx val="10"/>
              <c:layout>
                <c:manualLayout>
                  <c:x val="-2.0762027103107678E-2"/>
                  <c:y val="-3.603603603603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F89-4EF2-98A1-6BA7A333A0AD}"/>
                </c:ext>
              </c:extLst>
            </c:dLbl>
            <c:dLbl>
              <c:idx val="11"/>
              <c:layout>
                <c:manualLayout>
                  <c:x val="-2.210475956366491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F89-4EF2-98A1-6BA7A333A0AD}"/>
                </c:ext>
              </c:extLst>
            </c:dLbl>
            <c:dLbl>
              <c:idx val="12"/>
              <c:layout>
                <c:manualLayout>
                  <c:x val="-1.807656218199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F89-4EF2-98A1-6BA7A333A0AD}"/>
                </c:ext>
              </c:extLst>
            </c:dLbl>
            <c:dLbl>
              <c:idx val="13"/>
              <c:layout>
                <c:manualLayout>
                  <c:x val="-2.3447492024222048E-2"/>
                  <c:y val="-2.831402831402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F89-4EF2-98A1-6BA7A333A0AD}"/>
                </c:ext>
              </c:extLst>
            </c:dLbl>
            <c:dLbl>
              <c:idx val="14"/>
              <c:layout>
                <c:manualLayout>
                  <c:x val="-2.2104759563664814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'c55'!$C$5:$J$5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'c55'!$C$7:$J$7</c:f>
              <c:numCache>
                <c:formatCode>0.0</c:formatCode>
                <c:ptCount val="8"/>
                <c:pt idx="0">
                  <c:v>6.3</c:v>
                </c:pt>
                <c:pt idx="1">
                  <c:v>6.3</c:v>
                </c:pt>
                <c:pt idx="2">
                  <c:v>6.6</c:v>
                </c:pt>
                <c:pt idx="3">
                  <c:v>6.5</c:v>
                </c:pt>
                <c:pt idx="4">
                  <c:v>6.3</c:v>
                </c:pt>
                <c:pt idx="5">
                  <c:v>6.5</c:v>
                </c:pt>
                <c:pt idx="6">
                  <c:v>6.5</c:v>
                </c:pt>
                <c:pt idx="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F89-4EF2-98A1-6BA7A333A0AD}"/>
            </c:ext>
          </c:extLst>
        </c:ser>
        <c:ser>
          <c:idx val="0"/>
          <c:order val="1"/>
          <c:tx>
            <c:strRef>
              <c:f>'c55'!$B$8</c:f>
              <c:strCache>
                <c:ptCount val="1"/>
                <c:pt idx="0">
                  <c:v>  Educación</c:v>
                </c:pt>
              </c:strCache>
            </c:strRef>
          </c:tx>
          <c:spPr>
            <a:ln w="38100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043329553594321E-2"/>
                  <c:y val="-1.0296010296010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3F89-4EF2-98A1-6BA7A333A0AD}"/>
                </c:ext>
              </c:extLst>
            </c:dLbl>
            <c:dLbl>
              <c:idx val="1"/>
              <c:layout>
                <c:manualLayout>
                  <c:x val="-1.7700597093037111E-2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3F89-4EF2-98A1-6BA7A333A0AD}"/>
                </c:ext>
              </c:extLst>
            </c:dLbl>
            <c:dLbl>
              <c:idx val="2"/>
              <c:layout>
                <c:manualLayout>
                  <c:x val="-2.0386062014151555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3F89-4EF2-98A1-6BA7A333A0AD}"/>
                </c:ext>
              </c:extLst>
            </c:dLbl>
            <c:dLbl>
              <c:idx val="3"/>
              <c:layout>
                <c:manualLayout>
                  <c:x val="-1.9043329553594369E-2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3F89-4EF2-98A1-6BA7A333A0AD}"/>
                </c:ext>
              </c:extLst>
            </c:dLbl>
            <c:dLbl>
              <c:idx val="4"/>
              <c:layout>
                <c:manualLayout>
                  <c:x val="-1.6357864632479853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A-3F89-4EF2-98A1-6BA7A333A0AD}"/>
                </c:ext>
              </c:extLst>
            </c:dLbl>
            <c:dLbl>
              <c:idx val="5"/>
              <c:layout>
                <c:manualLayout>
                  <c:x val="-1.7700597093037184E-2"/>
                  <c:y val="-1.0296010296010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3F89-4EF2-98A1-6BA7A333A0AD}"/>
                </c:ext>
              </c:extLst>
            </c:dLbl>
            <c:dLbl>
              <c:idx val="6"/>
              <c:layout>
                <c:manualLayout>
                  <c:x val="-1.9043329553594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3F89-4EF2-98A1-6BA7A333A0AD}"/>
                </c:ext>
              </c:extLst>
            </c:dLbl>
            <c:dLbl>
              <c:idx val="7"/>
              <c:layout>
                <c:manualLayout>
                  <c:x val="-1.9043329553594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'c55'!$C$5:$J$5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'c55'!$C$8:$J$8</c:f>
              <c:numCache>
                <c:formatCode>0.0</c:formatCode>
                <c:ptCount val="8"/>
                <c:pt idx="0">
                  <c:v>7</c:v>
                </c:pt>
                <c:pt idx="1">
                  <c:v>6.8</c:v>
                </c:pt>
                <c:pt idx="2">
                  <c:v>7</c:v>
                </c:pt>
                <c:pt idx="3">
                  <c:v>7.3</c:v>
                </c:pt>
                <c:pt idx="4">
                  <c:v>7.3</c:v>
                </c:pt>
                <c:pt idx="5">
                  <c:v>7.4</c:v>
                </c:pt>
                <c:pt idx="6">
                  <c:v>7.5</c:v>
                </c:pt>
                <c:pt idx="7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F89-4EF2-98A1-6BA7A333A0AD}"/>
            </c:ext>
          </c:extLst>
        </c:ser>
        <c:ser>
          <c:idx val="1"/>
          <c:order val="2"/>
          <c:tx>
            <c:strRef>
              <c:f>'c55'!$B$9</c:f>
              <c:strCache>
                <c:ptCount val="1"/>
                <c:pt idx="0">
                  <c:v>  Protección social</c:v>
                </c:pt>
              </c:strCache>
            </c:strRef>
          </c:tx>
          <c:spPr>
            <a:ln w="38100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386062014151555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3F89-4EF2-98A1-6BA7A333A0AD}"/>
                </c:ext>
              </c:extLst>
            </c:dLbl>
            <c:dLbl>
              <c:idx val="1"/>
              <c:layout>
                <c:manualLayout>
                  <c:x val="-2.5756991856380466E-2"/>
                  <c:y val="-1.0296010296010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3F89-4EF2-98A1-6BA7A333A0AD}"/>
                </c:ext>
              </c:extLst>
            </c:dLbl>
            <c:dLbl>
              <c:idx val="2"/>
              <c:layout>
                <c:manualLayout>
                  <c:x val="-1.5015132171922619E-2"/>
                  <c:y val="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3F89-4EF2-98A1-6BA7A333A0AD}"/>
                </c:ext>
              </c:extLst>
            </c:dLbl>
            <c:dLbl>
              <c:idx val="3"/>
              <c:layout>
                <c:manualLayout>
                  <c:x val="-1.3672399711365482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3F89-4EF2-98A1-6BA7A333A0AD}"/>
                </c:ext>
              </c:extLst>
            </c:dLbl>
            <c:dLbl>
              <c:idx val="4"/>
              <c:layout>
                <c:manualLayout>
                  <c:x val="-1.6357864632479853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3-3F89-4EF2-98A1-6BA7A333A0AD}"/>
                </c:ext>
              </c:extLst>
            </c:dLbl>
            <c:dLbl>
              <c:idx val="5"/>
              <c:layout>
                <c:manualLayout>
                  <c:x val="-1.0986934790250917E-2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4-3F89-4EF2-98A1-6BA7A333A0AD}"/>
                </c:ext>
              </c:extLst>
            </c:dLbl>
            <c:dLbl>
              <c:idx val="6"/>
              <c:layout>
                <c:manualLayout>
                  <c:x val="-1.0986934790251014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3F89-4EF2-98A1-6BA7A333A0AD}"/>
                </c:ext>
              </c:extLst>
            </c:dLbl>
            <c:dLbl>
              <c:idx val="7"/>
              <c:layout>
                <c:manualLayout>
                  <c:x val="-1.904332955359432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'c55'!$C$5:$J$5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'c55'!$C$9:$J$9</c:f>
              <c:numCache>
                <c:formatCode>0.0</c:formatCode>
                <c:ptCount val="8"/>
                <c:pt idx="0">
                  <c:v>6.3</c:v>
                </c:pt>
                <c:pt idx="1">
                  <c:v>6.4</c:v>
                </c:pt>
                <c:pt idx="2">
                  <c:v>6.5</c:v>
                </c:pt>
                <c:pt idx="3">
                  <c:v>6.8</c:v>
                </c:pt>
                <c:pt idx="4">
                  <c:v>6.8</c:v>
                </c:pt>
                <c:pt idx="5">
                  <c:v>6.9</c:v>
                </c:pt>
                <c:pt idx="6">
                  <c:v>6.9</c:v>
                </c:pt>
                <c:pt idx="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F89-4EF2-98A1-6BA7A333A0AD}"/>
            </c:ext>
          </c:extLst>
        </c:ser>
        <c:ser>
          <c:idx val="2"/>
          <c:order val="3"/>
          <c:tx>
            <c:strRef>
              <c:f>'c55'!$B$10</c:f>
              <c:strCache>
                <c:ptCount val="1"/>
                <c:pt idx="0">
                  <c:v>  Vivienda</c:v>
                </c:pt>
              </c:strCache>
            </c:strRef>
          </c:tx>
          <c:spPr>
            <a:ln w="38100" cap="rnd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76202710310758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F89-4EF2-98A1-6BA7A333A0AD}"/>
                </c:ext>
              </c:extLst>
            </c:dLbl>
            <c:dLbl>
              <c:idx val="1"/>
              <c:layout>
                <c:manualLayout>
                  <c:x val="-1.4474655924807006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3F89-4EF2-98A1-6BA7A333A0AD}"/>
                </c:ext>
              </c:extLst>
            </c:dLbl>
            <c:dLbl>
              <c:idx val="2"/>
              <c:layout>
                <c:manualLayout>
                  <c:x val="-1.4474655924806982E-2"/>
                  <c:y val="-1.8018018018017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3F89-4EF2-98A1-6BA7A333A0AD}"/>
                </c:ext>
              </c:extLst>
            </c:dLbl>
            <c:dLbl>
              <c:idx val="3"/>
              <c:layout>
                <c:manualLayout>
                  <c:x val="-1.7700597093037135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3F89-4EF2-98A1-6BA7A333A0AD}"/>
                </c:ext>
              </c:extLst>
            </c:dLbl>
            <c:dLbl>
              <c:idx val="4"/>
              <c:layout>
                <c:manualLayout>
                  <c:x val="-1.6357864632479853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3F89-4EF2-98A1-6BA7A333A0AD}"/>
                </c:ext>
              </c:extLst>
            </c:dLbl>
            <c:dLbl>
              <c:idx val="5"/>
              <c:layout>
                <c:manualLayout>
                  <c:x val="-1.9043329553594321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3F89-4EF2-98A1-6BA7A333A0AD}"/>
                </c:ext>
              </c:extLst>
            </c:dLbl>
            <c:dLbl>
              <c:idx val="6"/>
              <c:layout>
                <c:manualLayout>
                  <c:x val="-1.9043329553594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3F89-4EF2-98A1-6BA7A333A0AD}"/>
                </c:ext>
              </c:extLst>
            </c:dLbl>
            <c:dLbl>
              <c:idx val="7"/>
              <c:layout>
                <c:manualLayout>
                  <c:x val="-1.6357864632479853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'c55'!$C$5:$J$5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'c55'!$C$10:$J$10</c:f>
              <c:numCache>
                <c:formatCode>0.0</c:formatCode>
                <c:ptCount val="8"/>
                <c:pt idx="0">
                  <c:v>2.14</c:v>
                </c:pt>
                <c:pt idx="1">
                  <c:v>2</c:v>
                </c:pt>
                <c:pt idx="2">
                  <c:v>2</c:v>
                </c:pt>
                <c:pt idx="3">
                  <c:v>2.1</c:v>
                </c:pt>
                <c:pt idx="4">
                  <c:v>2.1</c:v>
                </c:pt>
                <c:pt idx="5">
                  <c:v>2.2000000000000002</c:v>
                </c:pt>
                <c:pt idx="6">
                  <c:v>2.2000000000000002</c:v>
                </c:pt>
                <c:pt idx="7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F89-4EF2-98A1-6BA7A333A0AD}"/>
            </c:ext>
          </c:extLst>
        </c:ser>
        <c:ser>
          <c:idx val="4"/>
          <c:order val="4"/>
          <c:tx>
            <c:strRef>
              <c:f>'c55'!$B$11</c:f>
              <c:strCache>
                <c:ptCount val="1"/>
                <c:pt idx="0">
                  <c:v>  Servicios recreativos, culturales y religiosos</c:v>
                </c:pt>
              </c:strCache>
            </c:strRef>
          </c:tx>
          <c:spPr>
            <a:ln w="38100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419294642550346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F89-4EF2-98A1-6BA7A333A0AD}"/>
                </c:ext>
              </c:extLst>
            </c:dLbl>
            <c:dLbl>
              <c:idx val="1"/>
              <c:layout>
                <c:manualLayout>
                  <c:x val="-1.9043329553594369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3F89-4EF2-98A1-6BA7A333A0AD}"/>
                </c:ext>
              </c:extLst>
            </c:dLbl>
            <c:dLbl>
              <c:idx val="2"/>
              <c:layout>
                <c:manualLayout>
                  <c:x val="-1.9043329553594321E-2"/>
                  <c:y val="-1.2870012870012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F89-4EF2-98A1-6BA7A333A0AD}"/>
                </c:ext>
              </c:extLst>
            </c:dLbl>
            <c:dLbl>
              <c:idx val="3"/>
              <c:layout>
                <c:manualLayout>
                  <c:x val="-1.9043329553594418E-2"/>
                  <c:y val="-1.2870012870012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3F89-4EF2-98A1-6BA7A333A0AD}"/>
                </c:ext>
              </c:extLst>
            </c:dLbl>
            <c:dLbl>
              <c:idx val="4"/>
              <c:layout>
                <c:manualLayout>
                  <c:x val="-1.9043329553594321E-2"/>
                  <c:y val="-1.28700128700127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3F89-4EF2-98A1-6BA7A333A0AD}"/>
                </c:ext>
              </c:extLst>
            </c:dLbl>
            <c:dLbl>
              <c:idx val="5"/>
              <c:layout>
                <c:manualLayout>
                  <c:x val="-1.6357864632479853E-2"/>
                  <c:y val="-2.3166023166023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F89-4EF2-98A1-6BA7A333A0AD}"/>
                </c:ext>
              </c:extLst>
            </c:dLbl>
            <c:dLbl>
              <c:idx val="6"/>
              <c:layout>
                <c:manualLayout>
                  <c:x val="-1.9043329553594321E-2"/>
                  <c:y val="-2.3166023166023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F89-4EF2-98A1-6BA7A333A0AD}"/>
                </c:ext>
              </c:extLst>
            </c:dLbl>
            <c:dLbl>
              <c:idx val="7"/>
              <c:layout>
                <c:manualLayout>
                  <c:x val="-1.904332955359432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F89-4EF2-98A1-6BA7A333A0A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'c55'!$C$5:$J$5</c:f>
              <c:numCache>
                <c:formatCode>General</c:formatCode>
                <c:ptCount val="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</c:numCache>
            </c:numRef>
          </c:cat>
          <c:val>
            <c:numRef>
              <c:f>'c55'!$C$11:$J$11</c:f>
              <c:numCache>
                <c:formatCode>0.0</c:formatCode>
                <c:ptCount val="8"/>
                <c:pt idx="0">
                  <c:v>0.19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F89-4EF2-98A1-6BA7A333A0A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Población</a:t>
            </a:r>
            <a:r>
              <a:rPr lang="es-CR" b="1" baseline="0"/>
              <a:t> en viviendas con servicio sanitario conectado a alcantarillado o tanque séptico según región, </a:t>
            </a:r>
            <a:r>
              <a:rPr lang="es-CR" b="1"/>
              <a:t>2018</a:t>
            </a:r>
          </a:p>
          <a:p>
            <a:pPr>
              <a:defRPr/>
            </a:pPr>
            <a:r>
              <a:rPr lang="es-CR" b="1"/>
              <a:t>(en</a:t>
            </a:r>
            <a:r>
              <a:rPr lang="es-CR" b="1" baseline="0"/>
              <a:t> cifras y porcentajes)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FD8-40A9-B201-43569AD21AC5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FD8-40A9-B201-43569AD21AC5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FD8-40A9-B201-43569AD21AC5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FD8-40A9-B201-43569AD21AC5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tx>
                <c:rich>
                  <a:bodyPr/>
                  <a:lstStyle/>
                  <a:p>
                    <a:fld id="{A2115F39-1453-4DE2-84DB-40837310A54B}" type="VALUE">
                      <a:rPr lang="en-US"/>
                      <a:pPr/>
                      <a:t>[VALOR]</a:t>
                    </a:fld>
                    <a:r>
                      <a:rPr lang="en-US" baseline="0"/>
                      <a:t> (62,5%)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FD8-40A9-B201-43569AD21AC5}"/>
                </c:ext>
              </c:extLst>
            </c:dLbl>
            <c:dLbl>
              <c:idx val="1"/>
              <c:layout>
                <c:manualLayout>
                  <c:x val="1.9444533718999412E-2"/>
                  <c:y val="-2.9083458584771061E-2"/>
                </c:manualLayout>
              </c:layout>
              <c:tx>
                <c:rich>
                  <a:bodyPr/>
                  <a:lstStyle/>
                  <a:p>
                    <a:fld id="{ACD6F5C1-B070-4724-91EF-D36F05BA30E5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(7,5%)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FD8-40A9-B201-43569AD21AC5}"/>
                </c:ext>
              </c:extLst>
            </c:dLbl>
            <c:dLbl>
              <c:idx val="2"/>
              <c:layout>
                <c:manualLayout>
                  <c:x val="1.7460317460317461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26D121C2-5A82-4DCB-B5D0-975E092D8512}" type="VALUE">
                      <a:rPr lang="en-US"/>
                      <a:pPr/>
                      <a:t>[VALOR]</a:t>
                    </a:fld>
                    <a:r>
                      <a:rPr lang="en-US"/>
                      <a:t>                (5,9%)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FD8-40A9-B201-43569AD21AC5}"/>
                </c:ext>
              </c:extLst>
            </c:dLbl>
            <c:dLbl>
              <c:idx val="3"/>
              <c:layout>
                <c:manualLayout>
                  <c:x val="1.1394647097684134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845B1AEA-7A38-4866-87A6-2777159A80DF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               (7,4%)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FD8-40A9-B201-43569AD21AC5}"/>
                </c:ext>
              </c:extLst>
            </c:dLbl>
            <c:dLbl>
              <c:idx val="4"/>
              <c:layout>
                <c:manualLayout>
                  <c:x val="1.3605442176870665E-2"/>
                  <c:y val="-1.1396011396011397E-2"/>
                </c:manualLayout>
              </c:layout>
              <c:tx>
                <c:rich>
                  <a:bodyPr/>
                  <a:lstStyle/>
                  <a:p>
                    <a:fld id="{2BD84CBF-5367-4DE5-AD89-523D5C1AFCF9}" type="VALUE">
                      <a:rPr lang="en-US"/>
                      <a:pPr/>
                      <a:t>[VALOR]</a:t>
                    </a:fld>
                    <a:r>
                      <a:rPr lang="en-US"/>
                      <a:t>                 (8,8%)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FD8-40A9-B201-43569AD21AC5}"/>
                </c:ext>
              </c:extLst>
            </c:dLbl>
            <c:dLbl>
              <c:idx val="5"/>
              <c:layout>
                <c:manualLayout>
                  <c:x val="1.3605442176870748E-2"/>
                  <c:y val="-7.5973409306744032E-3"/>
                </c:manualLayout>
              </c:layout>
              <c:tx>
                <c:rich>
                  <a:bodyPr/>
                  <a:lstStyle/>
                  <a:p>
                    <a:fld id="{F67ED4B2-52C5-4D8F-96CF-FEBD62229B71}" type="VALUE">
                      <a:rPr lang="en-US"/>
                      <a:pPr/>
                      <a:t>[VALOR]</a:t>
                    </a:fld>
                    <a:r>
                      <a:rPr lang="en-US"/>
                      <a:t>                  (8,0%)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4FD8-40A9-B201-43569AD21AC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'c56'!$B$9:$B$14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'c56'!$C$9:$C$14</c:f>
              <c:numCache>
                <c:formatCode>#,##0</c:formatCode>
                <c:ptCount val="6"/>
                <c:pt idx="0">
                  <c:v>3070072</c:v>
                </c:pt>
                <c:pt idx="1">
                  <c:v>367609</c:v>
                </c:pt>
                <c:pt idx="2">
                  <c:v>289121</c:v>
                </c:pt>
                <c:pt idx="3">
                  <c:v>361524</c:v>
                </c:pt>
                <c:pt idx="4">
                  <c:v>432754</c:v>
                </c:pt>
                <c:pt idx="5">
                  <c:v>393733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FD8-40A9-B201-43569AD21AC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Población</a:t>
            </a:r>
            <a:r>
              <a:rPr lang="es-CR" b="1" baseline="0"/>
              <a:t> con servicio de camión recolector de residuos sólidos según región, </a:t>
            </a:r>
            <a:r>
              <a:rPr lang="es-CR" b="1"/>
              <a:t>2018</a:t>
            </a:r>
          </a:p>
          <a:p>
            <a:pPr>
              <a:defRPr/>
            </a:pPr>
            <a:r>
              <a:rPr lang="es-CR" b="1"/>
              <a:t>(en</a:t>
            </a:r>
            <a:r>
              <a:rPr lang="es-CR" b="1" baseline="0"/>
              <a:t> cifras y porcentajes)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23A-4B97-A875-314A4371B5C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23A-4B97-A875-314A4371B5C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23A-4B97-A875-314A4371B5C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23A-4B97-A875-314A4371B5CA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tx>
                <c:rich>
                  <a:bodyPr/>
                  <a:lstStyle/>
                  <a:p>
                    <a:fld id="{A2115F39-1453-4DE2-84DB-40837310A54B}" type="VALUE">
                      <a:rPr lang="en-US"/>
                      <a:pPr/>
                      <a:t>[VALOR]</a:t>
                    </a:fld>
                    <a:r>
                      <a:rPr lang="en-US" baseline="0"/>
                      <a:t> (68,1%)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423A-4B97-A875-314A4371B5CA}"/>
                </c:ext>
              </c:extLst>
            </c:dLbl>
            <c:dLbl>
              <c:idx val="1"/>
              <c:layout>
                <c:manualLayout>
                  <c:x val="1.9444533718999412E-2"/>
                  <c:y val="-2.9083458584771061E-2"/>
                </c:manualLayout>
              </c:layout>
              <c:tx>
                <c:rich>
                  <a:bodyPr/>
                  <a:lstStyle/>
                  <a:p>
                    <a:fld id="{ACD6F5C1-B070-4724-91EF-D36F05BA30E5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(7,0%)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423A-4B97-A875-314A4371B5CA}"/>
                </c:ext>
              </c:extLst>
            </c:dLbl>
            <c:dLbl>
              <c:idx val="2"/>
              <c:layout>
                <c:manualLayout>
                  <c:x val="1.7460317460317461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26D121C2-5A82-4DCB-B5D0-975E092D8512}" type="VALUE">
                      <a:rPr lang="en-US"/>
                      <a:pPr/>
                      <a:t>[VALOR]</a:t>
                    </a:fld>
                    <a:r>
                      <a:rPr lang="en-US"/>
                      <a:t>                (5,9%)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423A-4B97-A875-314A4371B5CA}"/>
                </c:ext>
              </c:extLst>
            </c:dLbl>
            <c:dLbl>
              <c:idx val="3"/>
              <c:layout>
                <c:manualLayout>
                  <c:x val="1.1394647097684134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845B1AEA-7A38-4866-87A6-2777159A80DF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               (5,5%)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423A-4B97-A875-314A4371B5CA}"/>
                </c:ext>
              </c:extLst>
            </c:dLbl>
            <c:dLbl>
              <c:idx val="4"/>
              <c:layout>
                <c:manualLayout>
                  <c:x val="1.3605442176870665E-2"/>
                  <c:y val="-1.1396011396011397E-2"/>
                </c:manualLayout>
              </c:layout>
              <c:tx>
                <c:rich>
                  <a:bodyPr/>
                  <a:lstStyle/>
                  <a:p>
                    <a:fld id="{2BD84CBF-5367-4DE5-AD89-523D5C1AFCF9}" type="VALUE">
                      <a:rPr lang="en-US"/>
                      <a:pPr/>
                      <a:t>[VALOR]</a:t>
                    </a:fld>
                    <a:r>
                      <a:rPr lang="en-US"/>
                      <a:t>                 (7,3%)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423A-4B97-A875-314A4371B5CA}"/>
                </c:ext>
              </c:extLst>
            </c:dLbl>
            <c:dLbl>
              <c:idx val="5"/>
              <c:layout>
                <c:manualLayout>
                  <c:x val="1.3605442176870748E-2"/>
                  <c:y val="-7.5973409306744032E-3"/>
                </c:manualLayout>
              </c:layout>
              <c:tx>
                <c:rich>
                  <a:bodyPr/>
                  <a:lstStyle/>
                  <a:p>
                    <a:fld id="{F67ED4B2-52C5-4D8F-96CF-FEBD62229B71}" type="VALUE">
                      <a:rPr lang="en-US"/>
                      <a:pPr/>
                      <a:t>[VALOR]</a:t>
                    </a:fld>
                    <a:r>
                      <a:rPr lang="en-US"/>
                      <a:t>                  (6,2%)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423A-4B97-A875-314A4371B5C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'c57'!$B$9:$B$14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'c57'!$C$9:$C$14</c:f>
              <c:numCache>
                <c:formatCode>#,##0</c:formatCode>
                <c:ptCount val="6"/>
                <c:pt idx="0">
                  <c:v>3027713</c:v>
                </c:pt>
                <c:pt idx="1">
                  <c:v>310855</c:v>
                </c:pt>
                <c:pt idx="2">
                  <c:v>260157</c:v>
                </c:pt>
                <c:pt idx="3">
                  <c:v>245954</c:v>
                </c:pt>
                <c:pt idx="4">
                  <c:v>325783</c:v>
                </c:pt>
                <c:pt idx="5">
                  <c:v>275112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23A-4B97-A875-314A4371B5C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Población</a:t>
            </a:r>
            <a:r>
              <a:rPr lang="es-CR" b="1" baseline="0"/>
              <a:t> con acceso a electricidad según región, </a:t>
            </a:r>
            <a:r>
              <a:rPr lang="es-CR" b="1"/>
              <a:t>2018</a:t>
            </a:r>
          </a:p>
          <a:p>
            <a:pPr>
              <a:defRPr/>
            </a:pPr>
            <a:r>
              <a:rPr lang="es-CR" b="1"/>
              <a:t>(en</a:t>
            </a:r>
            <a:r>
              <a:rPr lang="es-CR" b="1" baseline="0"/>
              <a:t> cifras y porcentajes)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7B61-4265-9BCD-A4702AA42010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B61-4265-9BCD-A4702AA42010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B61-4265-9BCD-A4702AA42010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B61-4265-9BCD-A4702AA42010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tx>
                <c:rich>
                  <a:bodyPr/>
                  <a:lstStyle/>
                  <a:p>
                    <a:fld id="{A2115F39-1453-4DE2-84DB-40837310A54B}" type="VALUE">
                      <a:rPr lang="en-US"/>
                      <a:pPr/>
                      <a:t>[VALOR]</a:t>
                    </a:fld>
                    <a:r>
                      <a:rPr lang="en-US" baseline="0"/>
                      <a:t> (62,2%)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7B61-4265-9BCD-A4702AA42010}"/>
                </c:ext>
              </c:extLst>
            </c:dLbl>
            <c:dLbl>
              <c:idx val="1"/>
              <c:layout>
                <c:manualLayout>
                  <c:x val="1.9444533718999412E-2"/>
                  <c:y val="-2.9083458584771061E-2"/>
                </c:manualLayout>
              </c:layout>
              <c:tx>
                <c:rich>
                  <a:bodyPr/>
                  <a:lstStyle/>
                  <a:p>
                    <a:fld id="{ACD6F5C1-B070-4724-91EF-D36F05BA30E5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(7,6%)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B61-4265-9BCD-A4702AA42010}"/>
                </c:ext>
              </c:extLst>
            </c:dLbl>
            <c:dLbl>
              <c:idx val="2"/>
              <c:layout>
                <c:manualLayout>
                  <c:x val="1.7460317460317461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26D121C2-5A82-4DCB-B5D0-975E092D8512}" type="VALUE">
                      <a:rPr lang="en-US"/>
                      <a:pPr/>
                      <a:t>[VALOR]</a:t>
                    </a:fld>
                    <a:r>
                      <a:rPr lang="en-US"/>
                      <a:t>                (5,9%)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B61-4265-9BCD-A4702AA42010}"/>
                </c:ext>
              </c:extLst>
            </c:dLbl>
            <c:dLbl>
              <c:idx val="3"/>
              <c:layout>
                <c:manualLayout>
                  <c:x val="1.1394647097684134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845B1AEA-7A38-4866-87A6-2777159A80DF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               (7,3%)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B61-4265-9BCD-A4702AA42010}"/>
                </c:ext>
              </c:extLst>
            </c:dLbl>
            <c:dLbl>
              <c:idx val="4"/>
              <c:layout>
                <c:manualLayout>
                  <c:x val="1.3605442176870665E-2"/>
                  <c:y val="-1.1396011396011397E-2"/>
                </c:manualLayout>
              </c:layout>
              <c:tx>
                <c:rich>
                  <a:bodyPr/>
                  <a:lstStyle/>
                  <a:p>
                    <a:fld id="{2BD84CBF-5367-4DE5-AD89-523D5C1AFCF9}" type="VALUE">
                      <a:rPr lang="en-US"/>
                      <a:pPr/>
                      <a:t>[VALOR]</a:t>
                    </a:fld>
                    <a:r>
                      <a:rPr lang="en-US"/>
                      <a:t>                 (8,9%)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B61-4265-9BCD-A4702AA42010}"/>
                </c:ext>
              </c:extLst>
            </c:dLbl>
            <c:dLbl>
              <c:idx val="5"/>
              <c:layout>
                <c:manualLayout>
                  <c:x val="1.3605442176870748E-2"/>
                  <c:y val="-7.5973409306744032E-3"/>
                </c:manualLayout>
              </c:layout>
              <c:tx>
                <c:rich>
                  <a:bodyPr/>
                  <a:lstStyle/>
                  <a:p>
                    <a:fld id="{F67ED4B2-52C5-4D8F-96CF-FEBD62229B71}" type="VALUE">
                      <a:rPr lang="en-US"/>
                      <a:pPr/>
                      <a:t>[VALOR]</a:t>
                    </a:fld>
                    <a:r>
                      <a:rPr lang="en-US"/>
                      <a:t>                  (8,0%)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B61-4265-9BCD-A4702AA4201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'c58'!$B$8:$B$13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'c58'!$C$8:$C$13</c:f>
              <c:numCache>
                <c:formatCode>#,##0</c:formatCode>
                <c:ptCount val="6"/>
                <c:pt idx="0">
                  <c:v>3100528</c:v>
                </c:pt>
                <c:pt idx="1">
                  <c:v>379725</c:v>
                </c:pt>
                <c:pt idx="2">
                  <c:v>293096</c:v>
                </c:pt>
                <c:pt idx="3">
                  <c:v>364790</c:v>
                </c:pt>
                <c:pt idx="4">
                  <c:v>445793</c:v>
                </c:pt>
                <c:pt idx="5">
                  <c:v>401160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B61-4265-9BCD-A4702AA4201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Población</a:t>
            </a:r>
            <a:r>
              <a:rPr lang="es-CR" b="1" baseline="0"/>
              <a:t> en asentamiento informal según región, </a:t>
            </a:r>
            <a:r>
              <a:rPr lang="es-CR" b="1"/>
              <a:t>2018</a:t>
            </a:r>
          </a:p>
          <a:p>
            <a:pPr>
              <a:defRPr/>
            </a:pPr>
            <a:r>
              <a:rPr lang="es-CR" b="1"/>
              <a:t>(en</a:t>
            </a:r>
            <a:r>
              <a:rPr lang="es-CR" b="1" baseline="0"/>
              <a:t> cifras y porcentajes)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1">
                  <a:shade val="9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28-45BB-B8F5-F689926547B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28-45BB-B8F5-F689926547B7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28-45BB-B8F5-F689926547B7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28-45BB-B8F5-F689926547B7}"/>
              </c:ext>
            </c:extLst>
          </c:dPt>
          <c:dLbls>
            <c:dLbl>
              <c:idx val="0"/>
              <c:layout>
                <c:manualLayout>
                  <c:x val="1.6666666666666666E-2"/>
                  <c:y val="-3.2407407407407406E-2"/>
                </c:manualLayout>
              </c:layout>
              <c:tx>
                <c:rich>
                  <a:bodyPr/>
                  <a:lstStyle/>
                  <a:p>
                    <a:fld id="{A2115F39-1453-4DE2-84DB-40837310A54B}" type="VALUE">
                      <a:rPr lang="en-US"/>
                      <a:pPr/>
                      <a:t>[VALOR]</a:t>
                    </a:fld>
                    <a:r>
                      <a:rPr lang="en-US" baseline="0"/>
                      <a:t> (72,0%)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AC28-45BB-B8F5-F689926547B7}"/>
                </c:ext>
              </c:extLst>
            </c:dLbl>
            <c:dLbl>
              <c:idx val="1"/>
              <c:layout>
                <c:manualLayout>
                  <c:x val="1.9444533718999412E-2"/>
                  <c:y val="-2.9083458584771061E-2"/>
                </c:manualLayout>
              </c:layout>
              <c:tx>
                <c:rich>
                  <a:bodyPr/>
                  <a:lstStyle/>
                  <a:p>
                    <a:fld id="{ACD6F5C1-B070-4724-91EF-D36F05BA30E5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(3,6%)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AC28-45BB-B8F5-F689926547B7}"/>
                </c:ext>
              </c:extLst>
            </c:dLbl>
            <c:dLbl>
              <c:idx val="2"/>
              <c:layout>
                <c:manualLayout>
                  <c:x val="1.7460317460317461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26D121C2-5A82-4DCB-B5D0-975E092D8512}" type="VALUE">
                      <a:rPr lang="en-US"/>
                      <a:pPr/>
                      <a:t>[VALOR]</a:t>
                    </a:fld>
                    <a:r>
                      <a:rPr lang="en-US"/>
                      <a:t>                    (6,0%)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AC28-45BB-B8F5-F689926547B7}"/>
                </c:ext>
              </c:extLst>
            </c:dLbl>
            <c:dLbl>
              <c:idx val="3"/>
              <c:layout>
                <c:manualLayout>
                  <c:x val="1.1394647097684134E-2"/>
                  <c:y val="-2.3148260313614645E-2"/>
                </c:manualLayout>
              </c:layout>
              <c:tx>
                <c:rich>
                  <a:bodyPr/>
                  <a:lstStyle/>
                  <a:p>
                    <a:fld id="{845B1AEA-7A38-4866-87A6-2777159A80DF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                     (0,2%)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AC28-45BB-B8F5-F689926547B7}"/>
                </c:ext>
              </c:extLst>
            </c:dLbl>
            <c:dLbl>
              <c:idx val="4"/>
              <c:layout>
                <c:manualLayout>
                  <c:x val="1.3605442176870665E-2"/>
                  <c:y val="-3.0389363722697196E-2"/>
                </c:manualLayout>
              </c:layout>
              <c:tx>
                <c:rich>
                  <a:bodyPr/>
                  <a:lstStyle/>
                  <a:p>
                    <a:fld id="{2BD84CBF-5367-4DE5-AD89-523D5C1AFCF9}" type="VALUE">
                      <a:rPr lang="en-US"/>
                      <a:pPr/>
                      <a:t>[VALOR]</a:t>
                    </a:fld>
                    <a:r>
                      <a:rPr lang="en-US"/>
                      <a:t>                     (7,8%)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AC28-45BB-B8F5-F689926547B7}"/>
                </c:ext>
              </c:extLst>
            </c:dLbl>
            <c:dLbl>
              <c:idx val="5"/>
              <c:layout>
                <c:manualLayout>
                  <c:x val="1.3605442176870748E-2"/>
                  <c:y val="-7.5973409306744032E-3"/>
                </c:manualLayout>
              </c:layout>
              <c:tx>
                <c:rich>
                  <a:bodyPr/>
                  <a:lstStyle/>
                  <a:p>
                    <a:fld id="{F67ED4B2-52C5-4D8F-96CF-FEBD62229B71}" type="VALUE">
                      <a:rPr lang="en-US"/>
                      <a:pPr/>
                      <a:t>[VALOR]</a:t>
                    </a:fld>
                    <a:r>
                      <a:rPr lang="en-US"/>
                      <a:t>                  (10,4%)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AC28-45BB-B8F5-F689926547B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'c59'!$B$8:$B$13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'c59'!$C$8:$C$13</c:f>
              <c:numCache>
                <c:formatCode>#,##0</c:formatCode>
                <c:ptCount val="6"/>
                <c:pt idx="0">
                  <c:v>79391</c:v>
                </c:pt>
                <c:pt idx="1">
                  <c:v>3948</c:v>
                </c:pt>
                <c:pt idx="2">
                  <c:v>6613</c:v>
                </c:pt>
                <c:pt idx="3">
                  <c:v>222</c:v>
                </c:pt>
                <c:pt idx="4">
                  <c:v>8598</c:v>
                </c:pt>
                <c:pt idx="5">
                  <c:v>11459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28-45BB-B8F5-F689926547B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Tasa de Política Monetaria y Tasa Básica Pasiva, 2015 - 2018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Tasa de Política Monetaria</c:v>
          </c:tx>
          <c:spPr>
            <a:ln w="38100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3.5395888013998247E-2"/>
                  <c:y val="-4.62962962962962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3,5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2C-4E9C-BA84-B06934A92A68}"/>
                </c:ext>
              </c:extLst>
            </c:dLbl>
            <c:dLbl>
              <c:idx val="1"/>
              <c:layout>
                <c:manualLayout>
                  <c:x val="-4.1729221347331633E-2"/>
                  <c:y val="-6.01851851851852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1,8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2C-4E9C-BA84-B06934A92A68}"/>
                </c:ext>
              </c:extLst>
            </c:dLbl>
            <c:dLbl>
              <c:idx val="2"/>
              <c:layout>
                <c:manualLayout>
                  <c:x val="-3.5395888013998247E-2"/>
                  <c:y val="-2.77777777777778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2C-4E9C-BA84-B06934A92A68}"/>
                </c:ext>
              </c:extLst>
            </c:dLbl>
            <c:dLbl>
              <c:idx val="3"/>
              <c:layout>
                <c:manualLayout>
                  <c:x val="-4.4506999125109463E-2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2C-4E9C-BA84-B06934A92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'c3'!$B$6:$B$9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'c3'!$C$6:$C$9</c:f>
              <c:numCache>
                <c:formatCode>#,##0.0</c:formatCode>
                <c:ptCount val="4"/>
                <c:pt idx="0">
                  <c:v>3.5</c:v>
                </c:pt>
                <c:pt idx="1">
                  <c:v>1.75</c:v>
                </c:pt>
                <c:pt idx="2">
                  <c:v>3.6</c:v>
                </c:pt>
                <c:pt idx="3">
                  <c:v>3.42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2C-4E9C-BA84-B06934A92A68}"/>
            </c:ext>
          </c:extLst>
        </c:ser>
        <c:ser>
          <c:idx val="1"/>
          <c:order val="1"/>
          <c:tx>
            <c:v>Tasa Básica Pasiva</c:v>
          </c:tx>
          <c:spPr>
            <a:ln w="3810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1729221347331584E-2"/>
                  <c:y val="-5.092592592592597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6,7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2C-4E9C-BA84-B06934A92A68}"/>
                </c:ext>
              </c:extLst>
            </c:dLbl>
            <c:dLbl>
              <c:idx val="1"/>
              <c:layout>
                <c:manualLayout>
                  <c:x val="-3.8173665791776029E-2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2C-4E9C-BA84-B06934A92A68}"/>
                </c:ext>
              </c:extLst>
            </c:dLbl>
            <c:dLbl>
              <c:idx val="2"/>
              <c:layout>
                <c:manualLayout>
                  <c:x val="-3.8173665791776029E-2"/>
                  <c:y val="-4.16666666666666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5,3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2C-4E9C-BA84-B06934A92A68}"/>
                </c:ext>
              </c:extLst>
            </c:dLbl>
            <c:dLbl>
              <c:idx val="3"/>
              <c:layout>
                <c:manualLayout>
                  <c:x val="-3.8951443569553906E-2"/>
                  <c:y val="-4.166666666666666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6,0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2C-4E9C-BA84-B06934A92A6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'c3'!$B$6:$B$9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'c3'!$D$6:$D$9</c:f>
              <c:numCache>
                <c:formatCode>#,##0.0</c:formatCode>
                <c:ptCount val="4"/>
                <c:pt idx="0">
                  <c:v>6.69</c:v>
                </c:pt>
                <c:pt idx="1">
                  <c:v>5.2</c:v>
                </c:pt>
                <c:pt idx="2">
                  <c:v>5.3</c:v>
                </c:pt>
                <c:pt idx="3">
                  <c:v>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2C-4E9C-BA84-B06934A92A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91196680"/>
        <c:axId val="591195696"/>
      </c:lineChart>
      <c:catAx>
        <c:axId val="591196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195696"/>
        <c:crosses val="autoZero"/>
        <c:auto val="1"/>
        <c:lblAlgn val="ctr"/>
        <c:lblOffset val="100"/>
        <c:noMultiLvlLbl val="0"/>
      </c:catAx>
      <c:valAx>
        <c:axId val="591195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1196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 baseline="0"/>
              <a:t>Índice de Pobreza Multidimensional de los hogares según región, 2010 - 2018</a:t>
            </a:r>
            <a:endParaRPr lang="es-CR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'c60'!$B$13</c:f>
              <c:strCache>
                <c:ptCount val="1"/>
                <c:pt idx="0">
                  <c:v>Central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0986934790250905E-2"/>
                  <c:y val="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05F-4CA8-BD3D-9BAF0E76E96E}"/>
                </c:ext>
              </c:extLst>
            </c:dLbl>
            <c:dLbl>
              <c:idx val="1"/>
              <c:layout>
                <c:manualLayout>
                  <c:x val="-7.3347024975352155E-3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5F-4CA8-BD3D-9BAF0E76E96E}"/>
                </c:ext>
              </c:extLst>
            </c:dLbl>
            <c:dLbl>
              <c:idx val="2"/>
              <c:layout>
                <c:manualLayout>
                  <c:x val="-2.0762027103107629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5F-4CA8-BD3D-9BAF0E76E96E}"/>
                </c:ext>
              </c:extLst>
            </c:dLbl>
            <c:dLbl>
              <c:idx val="3"/>
              <c:layout>
                <c:manualLayout>
                  <c:x val="-2.1137992192063654E-2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5F-4CA8-BD3D-9BAF0E76E96E}"/>
                </c:ext>
              </c:extLst>
            </c:dLbl>
            <c:dLbl>
              <c:idx val="4"/>
              <c:layout>
                <c:manualLayout>
                  <c:x val="-2.076202710310758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5F-4CA8-BD3D-9BAF0E76E96E}"/>
                </c:ext>
              </c:extLst>
            </c:dLbl>
            <c:dLbl>
              <c:idx val="5"/>
              <c:layout>
                <c:manualLayout>
                  <c:x val="-1.6733829721435976E-2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5F-4CA8-BD3D-9BAF0E76E96E}"/>
                </c:ext>
              </c:extLst>
            </c:dLbl>
            <c:dLbl>
              <c:idx val="6"/>
              <c:layout>
                <c:manualLayout>
                  <c:x val="-1.6733829721435878E-2"/>
                  <c:y val="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5F-4CA8-BD3D-9BAF0E76E96E}"/>
                </c:ext>
              </c:extLst>
            </c:dLbl>
            <c:dLbl>
              <c:idx val="7"/>
              <c:layout>
                <c:manualLayout>
                  <c:x val="-2.2104759563664814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5F-4CA8-BD3D-9BAF0E76E96E}"/>
                </c:ext>
              </c:extLst>
            </c:dLbl>
            <c:dLbl>
              <c:idx val="8"/>
              <c:layout>
                <c:manualLayout>
                  <c:x val="-2.2104759563664814E-2"/>
                  <c:y val="-2.574002574002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5F-4CA8-BD3D-9BAF0E76E96E}"/>
                </c:ext>
              </c:extLst>
            </c:dLbl>
            <c:dLbl>
              <c:idx val="9"/>
              <c:layout>
                <c:manualLayout>
                  <c:x val="-2.2104759563664814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5F-4CA8-BD3D-9BAF0E76E96E}"/>
                </c:ext>
              </c:extLst>
            </c:dLbl>
            <c:dLbl>
              <c:idx val="10"/>
              <c:layout>
                <c:manualLayout>
                  <c:x val="-2.0762027103107678E-2"/>
                  <c:y val="-3.603603603603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5F-4CA8-BD3D-9BAF0E76E96E}"/>
                </c:ext>
              </c:extLst>
            </c:dLbl>
            <c:dLbl>
              <c:idx val="11"/>
              <c:layout>
                <c:manualLayout>
                  <c:x val="-2.210475956366491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5F-4CA8-BD3D-9BAF0E76E96E}"/>
                </c:ext>
              </c:extLst>
            </c:dLbl>
            <c:dLbl>
              <c:idx val="12"/>
              <c:layout>
                <c:manualLayout>
                  <c:x val="-1.807656218199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5F-4CA8-BD3D-9BAF0E76E96E}"/>
                </c:ext>
              </c:extLst>
            </c:dLbl>
            <c:dLbl>
              <c:idx val="13"/>
              <c:layout>
                <c:manualLayout>
                  <c:x val="-2.3447492024222048E-2"/>
                  <c:y val="-2.831402831402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5F-4CA8-BD3D-9BAF0E76E96E}"/>
                </c:ext>
              </c:extLst>
            </c:dLbl>
            <c:dLbl>
              <c:idx val="14"/>
              <c:layout>
                <c:manualLayout>
                  <c:x val="-2.2104759563664814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'c60'!$C$5:$K$5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'c60'!$C$13:$K$13</c:f>
              <c:numCache>
                <c:formatCode>0.0</c:formatCode>
                <c:ptCount val="9"/>
                <c:pt idx="0">
                  <c:v>4.8255500000000016</c:v>
                </c:pt>
                <c:pt idx="1">
                  <c:v>4.6288800000000005</c:v>
                </c:pt>
                <c:pt idx="2">
                  <c:v>4.0370499999999998</c:v>
                </c:pt>
                <c:pt idx="3">
                  <c:v>3.6519599999999999</c:v>
                </c:pt>
                <c:pt idx="4">
                  <c:v>3.9279800000000011</c:v>
                </c:pt>
                <c:pt idx="5">
                  <c:v>4.1886200000000002</c:v>
                </c:pt>
                <c:pt idx="6">
                  <c:v>3.9762759663588505</c:v>
                </c:pt>
                <c:pt idx="7">
                  <c:v>4.6577770941571046</c:v>
                </c:pt>
                <c:pt idx="8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05F-4CA8-BD3D-9BAF0E76E96E}"/>
            </c:ext>
          </c:extLst>
        </c:ser>
        <c:ser>
          <c:idx val="0"/>
          <c:order val="1"/>
          <c:tx>
            <c:strRef>
              <c:f>'c60'!$B$14</c:f>
              <c:strCache>
                <c:ptCount val="1"/>
                <c:pt idx="0">
                  <c:v>Chorotega</c:v>
                </c:pt>
              </c:strCache>
            </c:strRef>
          </c:tx>
          <c:spPr>
            <a:ln w="38100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9785189238052193E-2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05F-4CA8-BD3D-9BAF0E76E96E}"/>
                </c:ext>
              </c:extLst>
            </c:dLbl>
            <c:dLbl>
              <c:idx val="1"/>
              <c:layout>
                <c:manualLayout>
                  <c:x val="-1.7700597093037087E-2"/>
                  <c:y val="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05F-4CA8-BD3D-9BAF0E76E96E}"/>
                </c:ext>
              </c:extLst>
            </c:dLbl>
            <c:dLbl>
              <c:idx val="2"/>
              <c:layout>
                <c:manualLayout>
                  <c:x val="-2.8442456777494959E-2"/>
                  <c:y val="1.28700128700128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505F-4CA8-BD3D-9BAF0E76E96E}"/>
                </c:ext>
              </c:extLst>
            </c:dLbl>
            <c:dLbl>
              <c:idx val="3"/>
              <c:layout>
                <c:manualLayout>
                  <c:x val="-1.23296672508082E-2"/>
                  <c:y val="1.80180180180179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05F-4CA8-BD3D-9BAF0E76E96E}"/>
                </c:ext>
              </c:extLst>
            </c:dLbl>
            <c:dLbl>
              <c:idx val="4"/>
              <c:layout>
                <c:manualLayout>
                  <c:x val="-1.6357864632479853E-2"/>
                  <c:y val="-4.11840411840412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05F-4CA8-BD3D-9BAF0E76E96E}"/>
                </c:ext>
              </c:extLst>
            </c:dLbl>
            <c:dLbl>
              <c:idx val="5"/>
              <c:layout>
                <c:manualLayout>
                  <c:x val="-1.7700597093037184E-2"/>
                  <c:y val="-1.02960102960102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05F-4CA8-BD3D-9BAF0E76E96E}"/>
                </c:ext>
              </c:extLst>
            </c:dLbl>
            <c:dLbl>
              <c:idx val="6"/>
              <c:layout>
                <c:manualLayout>
                  <c:x val="-2.1728794474708789E-2"/>
                  <c:y val="2.8314028314028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05F-4CA8-BD3D-9BAF0E76E96E}"/>
                </c:ext>
              </c:extLst>
            </c:dLbl>
            <c:dLbl>
              <c:idx val="7"/>
              <c:layout>
                <c:manualLayout>
                  <c:x val="-1.9043329553594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'c60'!$C$5:$K$5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'c60'!$C$14:$K$14</c:f>
              <c:numCache>
                <c:formatCode>0.0</c:formatCode>
                <c:ptCount val="9"/>
                <c:pt idx="0">
                  <c:v>11.259790000000001</c:v>
                </c:pt>
                <c:pt idx="1">
                  <c:v>10.90888</c:v>
                </c:pt>
                <c:pt idx="2">
                  <c:v>10.022250000000001</c:v>
                </c:pt>
                <c:pt idx="3">
                  <c:v>9.0386899999999972</c:v>
                </c:pt>
                <c:pt idx="4">
                  <c:v>9.1090599999999977</c:v>
                </c:pt>
                <c:pt idx="5">
                  <c:v>7.5735899999999994</c:v>
                </c:pt>
                <c:pt idx="6">
                  <c:v>6.7243669463371427</c:v>
                </c:pt>
                <c:pt idx="7">
                  <c:v>6.6240682141098253</c:v>
                </c:pt>
                <c:pt idx="8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05F-4CA8-BD3D-9BAF0E76E96E}"/>
            </c:ext>
          </c:extLst>
        </c:ser>
        <c:ser>
          <c:idx val="1"/>
          <c:order val="2"/>
          <c:tx>
            <c:strRef>
              <c:f>'c60'!$B$15</c:f>
              <c:strCache>
                <c:ptCount val="1"/>
                <c:pt idx="0">
                  <c:v>Pacífico Central</c:v>
                </c:pt>
              </c:strCache>
            </c:strRef>
          </c:tx>
          <c:spPr>
            <a:ln w="38100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2.0386062014151555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505F-4CA8-BD3D-9BAF0E76E96E}"/>
                </c:ext>
              </c:extLst>
            </c:dLbl>
            <c:dLbl>
              <c:idx val="1"/>
              <c:layout>
                <c:manualLayout>
                  <c:x val="-1.2329667250808151E-2"/>
                  <c:y val="-2.57400257400258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505F-4CA8-BD3D-9BAF0E76E96E}"/>
                </c:ext>
              </c:extLst>
            </c:dLbl>
            <c:dLbl>
              <c:idx val="2"/>
              <c:layout>
                <c:manualLayout>
                  <c:x val="-1.5015132171922619E-2"/>
                  <c:y val="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05F-4CA8-BD3D-9BAF0E76E96E}"/>
                </c:ext>
              </c:extLst>
            </c:dLbl>
            <c:dLbl>
              <c:idx val="3"/>
              <c:layout>
                <c:manualLayout>
                  <c:x val="-1.7700597093037087E-2"/>
                  <c:y val="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05F-4CA8-BD3D-9BAF0E76E96E}"/>
                </c:ext>
              </c:extLst>
            </c:dLbl>
            <c:dLbl>
              <c:idx val="4"/>
              <c:layout>
                <c:manualLayout>
                  <c:x val="-1.6357864632479853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505F-4CA8-BD3D-9BAF0E76E96E}"/>
                </c:ext>
              </c:extLst>
            </c:dLbl>
            <c:dLbl>
              <c:idx val="5"/>
              <c:layout>
                <c:manualLayout>
                  <c:x val="-1.2329667250808248E-2"/>
                  <c:y val="2.57400257400256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505F-4CA8-BD3D-9BAF0E76E96E}"/>
                </c:ext>
              </c:extLst>
            </c:dLbl>
            <c:dLbl>
              <c:idx val="6"/>
              <c:layout>
                <c:manualLayout>
                  <c:x val="-1.9043329553594321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505F-4CA8-BD3D-9BAF0E76E96E}"/>
                </c:ext>
              </c:extLst>
            </c:dLbl>
            <c:dLbl>
              <c:idx val="7"/>
              <c:layout>
                <c:manualLayout>
                  <c:x val="-1.904332955359432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505F-4CA8-BD3D-9BAF0E76E96E}"/>
                </c:ext>
              </c:extLst>
            </c:dLbl>
            <c:dLbl>
              <c:idx val="8"/>
              <c:layout>
                <c:manualLayout>
                  <c:x val="-1.5015132171922619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'c60'!$C$5:$K$5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'c60'!$C$15:$K$15</c:f>
              <c:numCache>
                <c:formatCode>0.0</c:formatCode>
                <c:ptCount val="9"/>
                <c:pt idx="0">
                  <c:v>9.564449999999999</c:v>
                </c:pt>
                <c:pt idx="1">
                  <c:v>8.1544300000000014</c:v>
                </c:pt>
                <c:pt idx="2">
                  <c:v>7.0323500000000001</c:v>
                </c:pt>
                <c:pt idx="3">
                  <c:v>7.83223</c:v>
                </c:pt>
                <c:pt idx="4">
                  <c:v>7.0095900000000002</c:v>
                </c:pt>
                <c:pt idx="5">
                  <c:v>7.2279899999999992</c:v>
                </c:pt>
                <c:pt idx="6">
                  <c:v>7.1297183119505769</c:v>
                </c:pt>
                <c:pt idx="7">
                  <c:v>8.8109442062560852</c:v>
                </c:pt>
                <c:pt idx="8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05F-4CA8-BD3D-9BAF0E76E96E}"/>
            </c:ext>
          </c:extLst>
        </c:ser>
        <c:ser>
          <c:idx val="2"/>
          <c:order val="3"/>
          <c:tx>
            <c:strRef>
              <c:f>'c60'!$B$16</c:f>
              <c:strCache>
                <c:ptCount val="1"/>
                <c:pt idx="0">
                  <c:v>Brunca</c:v>
                </c:pt>
              </c:strCache>
            </c:strRef>
          </c:tx>
          <c:spPr>
            <a:ln w="38100" cap="rnd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161154327008218E-2"/>
                  <c:y val="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505F-4CA8-BD3D-9BAF0E76E96E}"/>
                </c:ext>
              </c:extLst>
            </c:dLbl>
            <c:dLbl>
              <c:idx val="1"/>
              <c:layout>
                <c:manualLayout>
                  <c:x val="-2.1188318227593178E-2"/>
                  <c:y val="2.31660231660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505F-4CA8-BD3D-9BAF0E76E96E}"/>
                </c:ext>
              </c:extLst>
            </c:dLbl>
            <c:dLbl>
              <c:idx val="2"/>
              <c:layout>
                <c:manualLayout>
                  <c:x val="-1.7160120845921452E-2"/>
                  <c:y val="2.05920205920205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505F-4CA8-BD3D-9BAF0E76E96E}"/>
                </c:ext>
              </c:extLst>
            </c:dLbl>
            <c:dLbl>
              <c:idx val="3"/>
              <c:layout>
                <c:manualLayout>
                  <c:x val="-8.3014698691364491E-3"/>
                  <c:y val="-1.2870012870012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505F-4CA8-BD3D-9BAF0E76E96E}"/>
                </c:ext>
              </c:extLst>
            </c:dLbl>
            <c:dLbl>
              <c:idx val="4"/>
              <c:layout>
                <c:manualLayout>
                  <c:x val="9.1540521181075925E-3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6-505F-4CA8-BD3D-9BAF0E76E96E}"/>
                </c:ext>
              </c:extLst>
            </c:dLbl>
            <c:dLbl>
              <c:idx val="5"/>
              <c:layout>
                <c:manualLayout>
                  <c:x val="-1.9043329553594321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7-505F-4CA8-BD3D-9BAF0E76E96E}"/>
                </c:ext>
              </c:extLst>
            </c:dLbl>
            <c:dLbl>
              <c:idx val="6"/>
              <c:layout>
                <c:manualLayout>
                  <c:x val="2.3924109184237166E-2"/>
                  <c:y val="-5.148005148005147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8-505F-4CA8-BD3D-9BAF0E76E96E}"/>
                </c:ext>
              </c:extLst>
            </c:dLbl>
            <c:dLbl>
              <c:idx val="7"/>
              <c:layout>
                <c:manualLayout>
                  <c:x val="-1.6357864632479853E-2"/>
                  <c:y val="1.28700128700129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9-505F-4CA8-BD3D-9BAF0E76E96E}"/>
                </c:ext>
              </c:extLst>
            </c:dLbl>
            <c:dLbl>
              <c:idx val="8"/>
              <c:layout>
                <c:manualLayout>
                  <c:x val="-1.9043329553594321E-2"/>
                  <c:y val="7.72200772200772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6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'c60'!$C$5:$K$5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'c60'!$C$16:$K$16</c:f>
              <c:numCache>
                <c:formatCode>0.0</c:formatCode>
                <c:ptCount val="9"/>
                <c:pt idx="0">
                  <c:v>11.14785</c:v>
                </c:pt>
                <c:pt idx="1">
                  <c:v>10.365790000000001</c:v>
                </c:pt>
                <c:pt idx="2">
                  <c:v>9.153789999999999</c:v>
                </c:pt>
                <c:pt idx="3">
                  <c:v>9.1938099999999974</c:v>
                </c:pt>
                <c:pt idx="4">
                  <c:v>9.0586600000000015</c:v>
                </c:pt>
                <c:pt idx="5">
                  <c:v>8.1466700000000003</c:v>
                </c:pt>
                <c:pt idx="6">
                  <c:v>6.8718256857395943</c:v>
                </c:pt>
                <c:pt idx="7">
                  <c:v>8.2627121752270192</c:v>
                </c:pt>
                <c:pt idx="8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505F-4CA8-BD3D-9BAF0E76E96E}"/>
            </c:ext>
          </c:extLst>
        </c:ser>
        <c:ser>
          <c:idx val="4"/>
          <c:order val="4"/>
          <c:tx>
            <c:strRef>
              <c:f>'c60'!$B$17</c:f>
              <c:strCache>
                <c:ptCount val="1"/>
                <c:pt idx="0">
                  <c:v>Huetar Caribe</c:v>
                </c:pt>
              </c:strCache>
            </c:strRef>
          </c:tx>
          <c:spPr>
            <a:ln w="38100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532084169237151E-2"/>
                  <c:y val="5.148005148005124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B-505F-4CA8-BD3D-9BAF0E76E96E}"/>
                </c:ext>
              </c:extLst>
            </c:dLbl>
            <c:dLbl>
              <c:idx val="1"/>
              <c:layout>
                <c:manualLayout>
                  <c:x val="4.1379631171481211E-2"/>
                  <c:y val="-3.603603603603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C-505F-4CA8-BD3D-9BAF0E76E96E}"/>
                </c:ext>
              </c:extLst>
            </c:dLbl>
            <c:dLbl>
              <c:idx val="2"/>
              <c:layout>
                <c:manualLayout>
                  <c:x val="-5.6160049480219803E-3"/>
                  <c:y val="-7.7220077220077222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D-505F-4CA8-BD3D-9BAF0E76E96E}"/>
                </c:ext>
              </c:extLst>
            </c:dLbl>
            <c:dLbl>
              <c:idx val="3"/>
              <c:layout>
                <c:manualLayout>
                  <c:x val="-1.9043329553594369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E-505F-4CA8-BD3D-9BAF0E76E96E}"/>
                </c:ext>
              </c:extLst>
            </c:dLbl>
            <c:dLbl>
              <c:idx val="4"/>
              <c:layout>
                <c:manualLayout>
                  <c:x val="-2.0386062014151555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F-505F-4CA8-BD3D-9BAF0E76E96E}"/>
                </c:ext>
              </c:extLst>
            </c:dLbl>
            <c:dLbl>
              <c:idx val="5"/>
              <c:layout>
                <c:manualLayout>
                  <c:x val="-1.6357864632479853E-2"/>
                  <c:y val="-2.3166023166023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0-505F-4CA8-BD3D-9BAF0E76E96E}"/>
                </c:ext>
              </c:extLst>
            </c:dLbl>
            <c:dLbl>
              <c:idx val="6"/>
              <c:layout>
                <c:manualLayout>
                  <c:x val="-1.9043329553594321E-2"/>
                  <c:y val="-2.31660231660232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1-505F-4CA8-BD3D-9BAF0E76E96E}"/>
                </c:ext>
              </c:extLst>
            </c:dLbl>
            <c:dLbl>
              <c:idx val="7"/>
              <c:layout>
                <c:manualLayout>
                  <c:x val="-1.904332955359432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2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'c60'!$C$5:$K$5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'c60'!$C$17:$K$17</c:f>
              <c:numCache>
                <c:formatCode>0.0</c:formatCode>
                <c:ptCount val="9"/>
                <c:pt idx="0">
                  <c:v>12.501189999999998</c:v>
                </c:pt>
                <c:pt idx="1">
                  <c:v>10.836829999999999</c:v>
                </c:pt>
                <c:pt idx="2">
                  <c:v>10.098460000000001</c:v>
                </c:pt>
                <c:pt idx="3">
                  <c:v>9.6015899999999998</c:v>
                </c:pt>
                <c:pt idx="4">
                  <c:v>10.12947</c:v>
                </c:pt>
                <c:pt idx="5">
                  <c:v>10.90869</c:v>
                </c:pt>
                <c:pt idx="6">
                  <c:v>10.308451224383678</c:v>
                </c:pt>
                <c:pt idx="7">
                  <c:v>10.8256401127563</c:v>
                </c:pt>
                <c:pt idx="8">
                  <c:v>9.8000000000000007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3-505F-4CA8-BD3D-9BAF0E76E96E}"/>
            </c:ext>
          </c:extLst>
        </c:ser>
        <c:ser>
          <c:idx val="5"/>
          <c:order val="5"/>
          <c:tx>
            <c:strRef>
              <c:f>'c60'!$B$18</c:f>
              <c:strCache>
                <c:ptCount val="1"/>
                <c:pt idx="0">
                  <c:v>Huetar Norte</c:v>
                </c:pt>
              </c:strCache>
            </c:strRef>
          </c:tx>
          <c:spPr>
            <a:ln w="22225" cap="rnd" cmpd="sng" algn="ctr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076562181993112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E-505F-4CA8-BD3D-9BAF0E76E96E}"/>
                </c:ext>
              </c:extLst>
            </c:dLbl>
            <c:dLbl>
              <c:idx val="1"/>
              <c:layout>
                <c:manualLayout>
                  <c:x val="-1.2705632339764177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D-505F-4CA8-BD3D-9BAF0E76E96E}"/>
                </c:ext>
              </c:extLst>
            </c:dLbl>
            <c:dLbl>
              <c:idx val="2"/>
              <c:layout>
                <c:manualLayout>
                  <c:x val="-1.8076562181993161E-2"/>
                  <c:y val="-2.574002574002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505F-4CA8-BD3D-9BAF0E76E96E}"/>
                </c:ext>
              </c:extLst>
            </c:dLbl>
            <c:dLbl>
              <c:idx val="3"/>
              <c:layout>
                <c:manualLayout>
                  <c:x val="-2.2104759563664814E-2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B-505F-4CA8-BD3D-9BAF0E76E96E}"/>
                </c:ext>
              </c:extLst>
            </c:dLbl>
            <c:dLbl>
              <c:idx val="4"/>
              <c:layout>
                <c:manualLayout>
                  <c:x val="-1.9043329553594321E-2"/>
                  <c:y val="5.66280566280566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A-505F-4CA8-BD3D-9BAF0E76E96E}"/>
                </c:ext>
              </c:extLst>
            </c:dLbl>
            <c:dLbl>
              <c:idx val="5"/>
              <c:layout>
                <c:manualLayout>
                  <c:x val="-2.2104759563664911E-2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9-505F-4CA8-BD3D-9BAF0E76E96E}"/>
                </c:ext>
              </c:extLst>
            </c:dLbl>
            <c:dLbl>
              <c:idx val="6"/>
              <c:layout>
                <c:manualLayout>
                  <c:x val="-2.2104759563664911E-2"/>
                  <c:y val="2.3166023166023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8-505F-4CA8-BD3D-9BAF0E76E96E}"/>
                </c:ext>
              </c:extLst>
            </c:dLbl>
            <c:dLbl>
              <c:idx val="7"/>
              <c:layout>
                <c:manualLayout>
                  <c:x val="-2.2104759563664911E-2"/>
                  <c:y val="-1.5444015444015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505F-4CA8-BD3D-9BAF0E76E9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'c60'!$C$5:$K$5</c:f>
              <c:numCache>
                <c:formatCode>General</c:formatCode>
                <c:ptCount val="9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</c:numCache>
            </c:numRef>
          </c:cat>
          <c:val>
            <c:numRef>
              <c:f>'c60'!$C$18:$K$18</c:f>
              <c:numCache>
                <c:formatCode>0.0</c:formatCode>
                <c:ptCount val="9"/>
                <c:pt idx="0">
                  <c:v>12.919059999999998</c:v>
                </c:pt>
                <c:pt idx="1">
                  <c:v>11.025199999999998</c:v>
                </c:pt>
                <c:pt idx="2">
                  <c:v>10.395139999999998</c:v>
                </c:pt>
                <c:pt idx="3">
                  <c:v>10.65282</c:v>
                </c:pt>
                <c:pt idx="4">
                  <c:v>9.5269000000000013</c:v>
                </c:pt>
                <c:pt idx="5">
                  <c:v>10.40802</c:v>
                </c:pt>
                <c:pt idx="6">
                  <c:v>10.208568677330797</c:v>
                </c:pt>
                <c:pt idx="7">
                  <c:v>11.680620426835647</c:v>
                </c:pt>
                <c:pt idx="8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34-505F-4CA8-BD3D-9BAF0E76E96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Índice</a:t>
            </a:r>
            <a:r>
              <a:rPr lang="es-CR" b="1" baseline="0"/>
              <a:t> de Pobreza Multidimensional y la contribución absoluta de la dimensión vivienda e internet según región</a:t>
            </a:r>
            <a:r>
              <a:rPr lang="es-CR" b="1"/>
              <a:t>,</a:t>
            </a:r>
            <a:r>
              <a:rPr lang="es-CR" b="1" baseline="0"/>
              <a:t> </a:t>
            </a:r>
            <a:r>
              <a:rPr lang="es-CR" b="1"/>
              <a:t>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D3B-4106-B6FB-47BBD84D547A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D3B-4106-B6FB-47BBD84D547A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D3B-4106-B6FB-47BBD84D547A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9525" cap="flat" cmpd="sng" algn="ctr">
                <a:solidFill>
                  <a:schemeClr val="accent6">
                    <a:lumMod val="75000"/>
                  </a:schemeClr>
                </a:solidFill>
                <a:round/>
              </a:ln>
              <a:effectLst>
                <a:outerShdw blurRad="40000" dist="20000" dir="5400000" rotWithShape="0">
                  <a:srgbClr val="000000">
                    <a:alpha val="38000"/>
                  </a:srgbClr>
                </a:outerShdw>
              </a:effectLst>
              <a:sp3d contourW="9525">
                <a:contourClr>
                  <a:schemeClr val="accent6">
                    <a:lumMod val="75000"/>
                  </a:schemeClr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D3B-4106-B6FB-47BBD84D547A}"/>
              </c:ext>
            </c:extLst>
          </c:dPt>
          <c:dLbls>
            <c:dLbl>
              <c:idx val="0"/>
              <c:layout>
                <c:manualLayout>
                  <c:x val="8.3333333333333332E-3"/>
                  <c:y val="-1.85185185185185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3B-4106-B6FB-47BBD84D547A}"/>
                </c:ext>
              </c:extLst>
            </c:dLbl>
            <c:dLbl>
              <c:idx val="1"/>
              <c:layout>
                <c:manualLayout>
                  <c:x val="8.3333333333333332E-3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3B-4106-B6FB-47BBD84D547A}"/>
                </c:ext>
              </c:extLst>
            </c:dLbl>
            <c:dLbl>
              <c:idx val="2"/>
              <c:layout>
                <c:manualLayout>
                  <c:x val="1.3888888888888838E-2"/>
                  <c:y val="-1.85185185185185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3B-4106-B6FB-47BBD84D547A}"/>
                </c:ext>
              </c:extLst>
            </c:dLbl>
            <c:dLbl>
              <c:idx val="3"/>
              <c:layout>
                <c:manualLayout>
                  <c:x val="1.3888888888888888E-2"/>
                  <c:y val="-9.2592592592592587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3B-4106-B6FB-47BBD84D547A}"/>
                </c:ext>
              </c:extLst>
            </c:dLbl>
            <c:dLbl>
              <c:idx val="4"/>
              <c:layout>
                <c:manualLayout>
                  <c:x val="8.3333333333332309E-3"/>
                  <c:y val="-9.25925925925930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3B-4106-B6FB-47BBD84D547A}"/>
                </c:ext>
              </c:extLst>
            </c:dLbl>
            <c:dLbl>
              <c:idx val="5"/>
              <c:layout>
                <c:manualLayout>
                  <c:x val="8.3333333333332309E-3"/>
                  <c:y val="-4.2437781360066642E-1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D3B-4106-B6FB-47BBD84D547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'c61'!$B$10:$B$15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'c61'!$C$10:$C$15</c:f>
              <c:numCache>
                <c:formatCode>0.0</c:formatCode>
                <c:ptCount val="6"/>
                <c:pt idx="0">
                  <c:v>0.9</c:v>
                </c:pt>
                <c:pt idx="1">
                  <c:v>1.6</c:v>
                </c:pt>
                <c:pt idx="2">
                  <c:v>2.2000000000000002</c:v>
                </c:pt>
                <c:pt idx="3">
                  <c:v>1.9</c:v>
                </c:pt>
                <c:pt idx="4">
                  <c:v>2.8</c:v>
                </c:pt>
                <c:pt idx="5">
                  <c:v>2.2999999999999998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3B-4106-B6FB-47BBD84D547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1528088"/>
        <c:axId val="471532352"/>
        <c:axId val="0"/>
      </c:bar3DChart>
      <c:catAx>
        <c:axId val="471528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32352"/>
        <c:crosses val="autoZero"/>
        <c:auto val="1"/>
        <c:lblAlgn val="ctr"/>
        <c:lblOffset val="100"/>
        <c:noMultiLvlLbl val="0"/>
      </c:catAx>
      <c:valAx>
        <c:axId val="47153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471528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dk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Tasas</a:t>
            </a:r>
            <a:r>
              <a:rPr lang="es-CR" b="1" baseline="0"/>
              <a:t> de interés para vivienda en colones y dólares: bancos estatales, bancos privados y entidades financieras no bancarias</a:t>
            </a:r>
            <a:r>
              <a:rPr lang="es-CR" b="1"/>
              <a:t>, 2015 - 2018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dk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plotArea>
      <c:layout/>
      <c:lineChart>
        <c:grouping val="standard"/>
        <c:varyColors val="0"/>
        <c:ser>
          <c:idx val="3"/>
          <c:order val="0"/>
          <c:tx>
            <c:strRef>
              <c:f>'c4'!$C$20</c:f>
              <c:strCache>
                <c:ptCount val="1"/>
                <c:pt idx="0">
                  <c:v>Banco estatal colones</c:v>
                </c:pt>
              </c:strCache>
            </c:strRef>
          </c:tx>
          <c:spPr>
            <a:ln w="38100" cap="rnd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1362899879206943E-2"/>
                  <c:y val="-1.2870012870012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01C-4A90-8629-1B64C423729F}"/>
                </c:ext>
              </c:extLst>
            </c:dLbl>
            <c:dLbl>
              <c:idx val="1"/>
              <c:layout>
                <c:manualLayout>
                  <c:x val="-2.2104759563664839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01C-4A90-8629-1B64C423729F}"/>
                </c:ext>
              </c:extLst>
            </c:dLbl>
            <c:dLbl>
              <c:idx val="2"/>
              <c:layout>
                <c:manualLayout>
                  <c:x val="-3.9560281550908856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1C-4A90-8629-1B64C423729F}"/>
                </c:ext>
              </c:extLst>
            </c:dLbl>
            <c:dLbl>
              <c:idx val="3"/>
              <c:layout>
                <c:manualLayout>
                  <c:x val="-2.5166189573735308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1C-4A90-8629-1B64C423729F}"/>
                </c:ext>
              </c:extLst>
            </c:dLbl>
            <c:dLbl>
              <c:idx val="4"/>
              <c:layout>
                <c:manualLayout>
                  <c:x val="-2.076202710310758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1C-4A90-8629-1B64C423729F}"/>
                </c:ext>
              </c:extLst>
            </c:dLbl>
            <c:dLbl>
              <c:idx val="5"/>
              <c:layout>
                <c:manualLayout>
                  <c:x val="-1.9419294642550395E-2"/>
                  <c:y val="-3.08880308880309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1C-4A90-8629-1B64C423729F}"/>
                </c:ext>
              </c:extLst>
            </c:dLbl>
            <c:dLbl>
              <c:idx val="6"/>
              <c:layout>
                <c:manualLayout>
                  <c:x val="-2.076202710310758E-2"/>
                  <c:y val="-3.60360360360360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1C-4A90-8629-1B64C423729F}"/>
                </c:ext>
              </c:extLst>
            </c:dLbl>
            <c:dLbl>
              <c:idx val="7"/>
              <c:layout>
                <c:manualLayout>
                  <c:x val="-2.2104759563664814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1C-4A90-8629-1B64C423729F}"/>
                </c:ext>
              </c:extLst>
            </c:dLbl>
            <c:dLbl>
              <c:idx val="8"/>
              <c:layout>
                <c:manualLayout>
                  <c:x val="-2.2104759563664814E-2"/>
                  <c:y val="-2.574002574002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1C-4A90-8629-1B64C423729F}"/>
                </c:ext>
              </c:extLst>
            </c:dLbl>
            <c:dLbl>
              <c:idx val="9"/>
              <c:layout>
                <c:manualLayout>
                  <c:x val="-2.2104759563664814E-2"/>
                  <c:y val="-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1C-4A90-8629-1B64C423729F}"/>
                </c:ext>
              </c:extLst>
            </c:dLbl>
            <c:dLbl>
              <c:idx val="10"/>
              <c:layout>
                <c:manualLayout>
                  <c:x val="-2.0762027103107678E-2"/>
                  <c:y val="-3.6036036036036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1C-4A90-8629-1B64C423729F}"/>
                </c:ext>
              </c:extLst>
            </c:dLbl>
            <c:dLbl>
              <c:idx val="11"/>
              <c:layout>
                <c:manualLayout>
                  <c:x val="-2.2104759563664911E-2"/>
                  <c:y val="-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1C-4A90-8629-1B64C423729F}"/>
                </c:ext>
              </c:extLst>
            </c:dLbl>
            <c:dLbl>
              <c:idx val="12"/>
              <c:layout>
                <c:manualLayout>
                  <c:x val="-1.807656218199321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1C-4A90-8629-1B64C423729F}"/>
                </c:ext>
              </c:extLst>
            </c:dLbl>
            <c:dLbl>
              <c:idx val="13"/>
              <c:layout>
                <c:manualLayout>
                  <c:x val="-2.3447492024222048E-2"/>
                  <c:y val="-2.8314028314028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1C-4A90-8629-1B64C423729F}"/>
                </c:ext>
              </c:extLst>
            </c:dLbl>
            <c:dLbl>
              <c:idx val="14"/>
              <c:layout>
                <c:manualLayout>
                  <c:x val="-2.2104759563664814E-2"/>
                  <c:y val="-2.3166023166023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1C-4A90-8629-1B64C4237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'c4'!$B$21:$B$24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'c4'!$C$21:$C$24</c:f>
              <c:numCache>
                <c:formatCode>#,##0.0</c:formatCode>
                <c:ptCount val="4"/>
                <c:pt idx="0">
                  <c:v>13.1</c:v>
                </c:pt>
                <c:pt idx="1">
                  <c:v>10.6</c:v>
                </c:pt>
                <c:pt idx="2">
                  <c:v>9</c:v>
                </c:pt>
                <c:pt idx="3">
                  <c:v>10.62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D01C-4A90-8629-1B64C423729F}"/>
            </c:ext>
          </c:extLst>
        </c:ser>
        <c:ser>
          <c:idx val="0"/>
          <c:order val="1"/>
          <c:tx>
            <c:strRef>
              <c:f>'c4'!$D$20</c:f>
              <c:strCache>
                <c:ptCount val="1"/>
                <c:pt idx="0">
                  <c:v>Banco estatal dólares</c:v>
                </c:pt>
              </c:strCache>
            </c:strRef>
          </c:tx>
          <c:spPr>
            <a:ln w="38100" cap="rnd" cmpd="sng" algn="ctr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5015132171922619E-2"/>
                  <c:y val="-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D01C-4A90-8629-1B64C423729F}"/>
                </c:ext>
              </c:extLst>
            </c:dLbl>
            <c:dLbl>
              <c:idx val="1"/>
              <c:layout>
                <c:manualLayout>
                  <c:x val="-1.7700597093037087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D01C-4A90-8629-1B64C423729F}"/>
                </c:ext>
              </c:extLst>
            </c:dLbl>
            <c:dLbl>
              <c:idx val="2"/>
              <c:layout>
                <c:manualLayout>
                  <c:x val="9.1540521181075925E-3"/>
                  <c:y val="1.54440154440154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D01C-4A90-8629-1B64C423729F}"/>
                </c:ext>
              </c:extLst>
            </c:dLbl>
            <c:dLbl>
              <c:idx val="3"/>
              <c:layout>
                <c:manualLayout>
                  <c:x val="-2.7099724316937822E-2"/>
                  <c:y val="-1.54440154440155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01C-4A90-8629-1B64C4237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'c4'!$B$21:$B$24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'c4'!$D$21:$D$24</c:f>
              <c:numCache>
                <c:formatCode>#,##0.0</c:formatCode>
                <c:ptCount val="4"/>
                <c:pt idx="0">
                  <c:v>8.6</c:v>
                </c:pt>
                <c:pt idx="1">
                  <c:v>8.1999999999999993</c:v>
                </c:pt>
                <c:pt idx="2">
                  <c:v>9.1</c:v>
                </c:pt>
                <c:pt idx="3">
                  <c:v>9.4700000000000006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D01C-4A90-8629-1B64C423729F}"/>
            </c:ext>
          </c:extLst>
        </c:ser>
        <c:ser>
          <c:idx val="1"/>
          <c:order val="2"/>
          <c:tx>
            <c:strRef>
              <c:f>'c4'!$E$20</c:f>
              <c:strCache>
                <c:ptCount val="1"/>
                <c:pt idx="0">
                  <c:v>Banco privado colones</c:v>
                </c:pt>
              </c:strCache>
            </c:strRef>
          </c:tx>
          <c:spPr>
            <a:ln w="38100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161154327008218E-2"/>
                  <c:y val="-4.7189502052892639E-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D01C-4A90-8629-1B64C423729F}"/>
                </c:ext>
              </c:extLst>
            </c:dLbl>
            <c:dLbl>
              <c:idx val="1"/>
              <c:layout>
                <c:manualLayout>
                  <c:x val="-2.2104759563664814E-2"/>
                  <c:y val="-1.5444015444015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01C-4A90-8629-1B64C423729F}"/>
                </c:ext>
              </c:extLst>
            </c:dLbl>
            <c:dLbl>
              <c:idx val="2"/>
              <c:layout>
                <c:manualLayout>
                  <c:x val="-1.8076562181993112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D01C-4A90-8629-1B64C423729F}"/>
                </c:ext>
              </c:extLst>
            </c:dLbl>
            <c:dLbl>
              <c:idx val="3"/>
              <c:layout>
                <c:manualLayout>
                  <c:x val="-2.2104759563664814E-2"/>
                  <c:y val="-1.54440154440154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D01C-4A90-8629-1B64C4237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'c4'!$B$21:$B$24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'c4'!$E$21:$E$24</c:f>
              <c:numCache>
                <c:formatCode>#,##0.0</c:formatCode>
                <c:ptCount val="4"/>
                <c:pt idx="0">
                  <c:v>12.4</c:v>
                </c:pt>
                <c:pt idx="1">
                  <c:v>13.1</c:v>
                </c:pt>
                <c:pt idx="2">
                  <c:v>13.1</c:v>
                </c:pt>
                <c:pt idx="3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D01C-4A90-8629-1B64C423729F}"/>
            </c:ext>
          </c:extLst>
        </c:ser>
        <c:ser>
          <c:idx val="2"/>
          <c:order val="3"/>
          <c:tx>
            <c:strRef>
              <c:f>'c4'!$F$20</c:f>
              <c:strCache>
                <c:ptCount val="1"/>
                <c:pt idx="0">
                  <c:v>Banco privado dólares</c:v>
                </c:pt>
              </c:strCache>
            </c:strRef>
          </c:tx>
          <c:spPr>
            <a:ln w="38100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9043329553594321E-2"/>
                  <c:y val="2.8314028314028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D01C-4A90-8629-1B64C423729F}"/>
                </c:ext>
              </c:extLst>
            </c:dLbl>
            <c:dLbl>
              <c:idx val="1"/>
              <c:layout>
                <c:manualLayout>
                  <c:x val="-1.6357864632479853E-2"/>
                  <c:y val="2.31660231660231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D01C-4A90-8629-1B64C423729F}"/>
                </c:ext>
              </c:extLst>
            </c:dLbl>
            <c:dLbl>
              <c:idx val="2"/>
              <c:layout>
                <c:manualLayout>
                  <c:x val="-1.9043329553594321E-2"/>
                  <c:y val="2.0592020592020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D01C-4A90-8629-1B64C423729F}"/>
                </c:ext>
              </c:extLst>
            </c:dLbl>
            <c:dLbl>
              <c:idx val="3"/>
              <c:layout>
                <c:manualLayout>
                  <c:x val="-1.9043329553594418E-2"/>
                  <c:y val="2.5740025740025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D01C-4A90-8629-1B64C4237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'c4'!$B$21:$B$24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'c4'!$F$21:$F$24</c:f>
              <c:numCache>
                <c:formatCode>#,##0.0</c:formatCode>
                <c:ptCount val="4"/>
                <c:pt idx="0">
                  <c:v>8</c:v>
                </c:pt>
                <c:pt idx="1">
                  <c:v>8</c:v>
                </c:pt>
                <c:pt idx="2">
                  <c:v>8.4</c:v>
                </c:pt>
                <c:pt idx="3">
                  <c:v>8.3699999999999992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D01C-4A90-8629-1B64C423729F}"/>
            </c:ext>
          </c:extLst>
        </c:ser>
        <c:ser>
          <c:idx val="4"/>
          <c:order val="4"/>
          <c:tx>
            <c:strRef>
              <c:f>'c4'!$G$20</c:f>
              <c:strCache>
                <c:ptCount val="1"/>
                <c:pt idx="0">
                  <c:v>Entidad financiera no bancaria colones</c:v>
                </c:pt>
              </c:strCache>
            </c:strRef>
          </c:tx>
          <c:spPr>
            <a:ln w="38100" cap="rnd" cmpd="sng" algn="ctr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1.8076562181993112E-2"/>
                  <c:y val="-2.05920205920206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D01C-4A90-8629-1B64C423729F}"/>
                </c:ext>
              </c:extLst>
            </c:dLbl>
            <c:dLbl>
              <c:idx val="1"/>
              <c:layout>
                <c:manualLayout>
                  <c:x val="-2.2104759563664814E-2"/>
                  <c:y val="-1.80180180180180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D01C-4A90-8629-1B64C423729F}"/>
                </c:ext>
              </c:extLst>
            </c:dLbl>
            <c:dLbl>
              <c:idx val="2"/>
              <c:layout>
                <c:manualLayout>
                  <c:x val="-2.2104759563664814E-2"/>
                  <c:y val="-2.3166023166023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D01C-4A90-8629-1B64C423729F}"/>
                </c:ext>
              </c:extLst>
            </c:dLbl>
            <c:dLbl>
              <c:idx val="3"/>
              <c:layout>
                <c:manualLayout>
                  <c:x val="-2.2104759563664814E-2"/>
                  <c:y val="-2.83140283140283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D01C-4A90-8629-1B64C42372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'c4'!$B$21:$B$24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'c4'!$G$21:$G$24</c:f>
              <c:numCache>
                <c:formatCode>#,##0.0</c:formatCode>
                <c:ptCount val="4"/>
                <c:pt idx="0">
                  <c:v>16.3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D01C-4A90-8629-1B64C423729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1841768"/>
        <c:axId val="651838816"/>
      </c:lineChart>
      <c:catAx>
        <c:axId val="651841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38816"/>
        <c:crosses val="autoZero"/>
        <c:auto val="1"/>
        <c:lblAlgn val="ctr"/>
        <c:lblOffset val="100"/>
        <c:noMultiLvlLbl val="0"/>
      </c:catAx>
      <c:valAx>
        <c:axId val="651838816"/>
        <c:scaling>
          <c:orientation val="minMax"/>
        </c:scaling>
        <c:delete val="0"/>
        <c:axPos val="l"/>
        <c:majorGridlines>
          <c:spPr>
            <a:ln>
              <a:solidFill>
                <a:schemeClr val="dk1">
                  <a:lumMod val="15000"/>
                  <a:lumOff val="85000"/>
                </a:schemeClr>
              </a:solidFill>
            </a:ln>
            <a:effectLst/>
          </c:spPr>
        </c:majorGridlines>
        <c:minorGridlines>
          <c:spPr>
            <a:ln>
              <a:solidFill>
                <a:schemeClr val="dk1">
                  <a:lumMod val="5000"/>
                  <a:lumOff val="95000"/>
                </a:schemeClr>
              </a:solidFill>
            </a:ln>
            <a:effectLst/>
          </c:spPr>
        </c:min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51841768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38100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Número de obras habitacionales por tamaños de la construcción,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dLbl>
              <c:idx val="1"/>
              <c:layout>
                <c:manualLayout>
                  <c:x val="9.9132589838909543E-3"/>
                  <c:y val="-4.0837155251609936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6.274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5C-44CC-91BE-F3571C469A15}"/>
                </c:ext>
              </c:extLst>
            </c:dLbl>
            <c:dLbl>
              <c:idx val="2"/>
              <c:layout>
                <c:manualLayout>
                  <c:x val="7.4349442379182153E-3"/>
                  <c:y val="-4.083715525161068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1.538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5C-44CC-91BE-F3571C469A15}"/>
                </c:ext>
              </c:extLst>
            </c:dLbl>
            <c:dLbl>
              <c:idx val="3"/>
              <c:layout>
                <c:manualLayout>
                  <c:x val="1.2391573729863693E-2"/>
                  <c:y val="-8.167431050322061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1.118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F5C-44CC-91BE-F3571C469A15}"/>
                </c:ext>
              </c:extLst>
            </c:dLbl>
            <c:dLbl>
              <c:idx val="4"/>
              <c:layout>
                <c:manualLayout>
                  <c:x val="9.9132589838909543E-3"/>
                  <c:y val="-4.0837155251611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F5C-44CC-91BE-F3571C469A15}"/>
                </c:ext>
              </c:extLst>
            </c:dLbl>
            <c:dLbl>
              <c:idx val="5"/>
              <c:layout>
                <c:manualLayout>
                  <c:x val="1.2391573729863693E-2"/>
                  <c:y val="-8.167431050322061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F5C-44CC-91BE-F3571C469A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'c6'!$D$5:$I$5</c:f>
              <c:strCache>
                <c:ptCount val="6"/>
                <c:pt idx="0">
                  <c:v>Menos de 40</c:v>
                </c:pt>
                <c:pt idx="1">
                  <c:v>De 40 a menos de 70</c:v>
                </c:pt>
                <c:pt idx="2">
                  <c:v>De 70 a menos de 100</c:v>
                </c:pt>
                <c:pt idx="3">
                  <c:v>De 100 a menos de 150</c:v>
                </c:pt>
                <c:pt idx="4">
                  <c:v>De 150 a menos de 200</c:v>
                </c:pt>
                <c:pt idx="5">
                  <c:v>De 200 y más</c:v>
                </c:pt>
              </c:strCache>
            </c:strRef>
          </c:cat>
          <c:val>
            <c:numRef>
              <c:f>'c6'!$D$6:$I$6</c:f>
              <c:numCache>
                <c:formatCode>#,##0</c:formatCode>
                <c:ptCount val="6"/>
                <c:pt idx="0">
                  <c:v>300</c:v>
                </c:pt>
                <c:pt idx="1">
                  <c:v>6274</c:v>
                </c:pt>
                <c:pt idx="2">
                  <c:v>1538</c:v>
                </c:pt>
                <c:pt idx="3">
                  <c:v>1118</c:v>
                </c:pt>
                <c:pt idx="4">
                  <c:v>843</c:v>
                </c:pt>
                <c:pt idx="5">
                  <c:v>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6-4D70-8783-7ED9FBE4D6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00467288"/>
        <c:axId val="600466304"/>
        <c:axId val="0"/>
      </c:bar3DChart>
      <c:catAx>
        <c:axId val="600467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00466304"/>
        <c:crosses val="autoZero"/>
        <c:auto val="1"/>
        <c:lblAlgn val="ctr"/>
        <c:lblOffset val="100"/>
        <c:noMultiLvlLbl val="0"/>
      </c:catAx>
      <c:valAx>
        <c:axId val="600466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00467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Metros cuadrados construidos en obras habitacionales según tipo de obra,               2016 - 2017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'c10'!$C$5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'c10'!$B$7:$B$13</c:f>
              <c:strCache>
                <c:ptCount val="7"/>
                <c:pt idx="0">
                  <c:v>   Casa</c:v>
                </c:pt>
                <c:pt idx="1">
                  <c:v>   Condominio</c:v>
                </c:pt>
                <c:pt idx="2">
                  <c:v>   Casa interés social-exonerada</c:v>
                </c:pt>
                <c:pt idx="3">
                  <c:v>   Apartamento</c:v>
                </c:pt>
                <c:pt idx="4">
                  <c:v>   Apartamento unifamiliar</c:v>
                </c:pt>
                <c:pt idx="5">
                  <c:v>   Transformación a condominio</c:v>
                </c:pt>
                <c:pt idx="6">
                  <c:v>   Cabaña</c:v>
                </c:pt>
              </c:strCache>
            </c:strRef>
          </c:cat>
          <c:val>
            <c:numRef>
              <c:f>'c10'!$C$7:$C$13</c:f>
              <c:numCache>
                <c:formatCode>#,##0</c:formatCode>
                <c:ptCount val="7"/>
                <c:pt idx="0">
                  <c:v>2277622</c:v>
                </c:pt>
                <c:pt idx="1">
                  <c:v>613721</c:v>
                </c:pt>
                <c:pt idx="2">
                  <c:v>633552</c:v>
                </c:pt>
                <c:pt idx="3">
                  <c:v>427639</c:v>
                </c:pt>
                <c:pt idx="4">
                  <c:v>152586</c:v>
                </c:pt>
                <c:pt idx="5">
                  <c:v>143326</c:v>
                </c:pt>
                <c:pt idx="6">
                  <c:v>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0D-42D6-839F-9847724C9F31}"/>
            </c:ext>
          </c:extLst>
        </c:ser>
        <c:ser>
          <c:idx val="1"/>
          <c:order val="1"/>
          <c:tx>
            <c:strRef>
              <c:f>'c10'!$D$5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'c10'!$B$7:$B$13</c:f>
              <c:strCache>
                <c:ptCount val="7"/>
                <c:pt idx="0">
                  <c:v>   Casa</c:v>
                </c:pt>
                <c:pt idx="1">
                  <c:v>   Condominio</c:v>
                </c:pt>
                <c:pt idx="2">
                  <c:v>   Casa interés social-exonerada</c:v>
                </c:pt>
                <c:pt idx="3">
                  <c:v>   Apartamento</c:v>
                </c:pt>
                <c:pt idx="4">
                  <c:v>   Apartamento unifamiliar</c:v>
                </c:pt>
                <c:pt idx="5">
                  <c:v>   Transformación a condominio</c:v>
                </c:pt>
                <c:pt idx="6">
                  <c:v>   Cabaña</c:v>
                </c:pt>
              </c:strCache>
            </c:strRef>
          </c:cat>
          <c:val>
            <c:numRef>
              <c:f>'c10'!$D$7:$D$13</c:f>
              <c:numCache>
                <c:formatCode>#,##0</c:formatCode>
                <c:ptCount val="7"/>
                <c:pt idx="0">
                  <c:v>2135833</c:v>
                </c:pt>
                <c:pt idx="1">
                  <c:v>551827</c:v>
                </c:pt>
                <c:pt idx="2">
                  <c:v>482400</c:v>
                </c:pt>
                <c:pt idx="3">
                  <c:v>257500</c:v>
                </c:pt>
                <c:pt idx="4">
                  <c:v>69208</c:v>
                </c:pt>
                <c:pt idx="5">
                  <c:v>14426</c:v>
                </c:pt>
                <c:pt idx="6">
                  <c:v>6032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D-42D6-839F-9847724C9F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24758136"/>
        <c:axId val="624758792"/>
        <c:axId val="0"/>
      </c:bar3DChart>
      <c:catAx>
        <c:axId val="624758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24758792"/>
        <c:crosses val="autoZero"/>
        <c:auto val="1"/>
        <c:lblAlgn val="ctr"/>
        <c:lblOffset val="100"/>
        <c:noMultiLvlLbl val="0"/>
      </c:catAx>
      <c:valAx>
        <c:axId val="624758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62475813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s-CR" sz="1400" b="1"/>
              <a:t>Miembros, número de ocupados e ingreso per cápita, por hogar, según quintil de ingreso per cápita del hogar.  2018.</a:t>
            </a:r>
          </a:p>
          <a:p>
            <a:pPr>
              <a:defRPr sz="1400" b="1"/>
            </a:pPr>
            <a:endParaRPr lang="es-CR" sz="1400" b="1"/>
          </a:p>
        </c:rich>
      </c:tx>
      <c:layout>
        <c:manualLayout>
          <c:xMode val="edge"/>
          <c:yMode val="edge"/>
          <c:x val="0.12651407704471723"/>
          <c:y val="1.3088784575005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565048499372361"/>
          <c:y val="0.17422097237845269"/>
          <c:w val="0.70996253393442821"/>
          <c:h val="0.52735058117735278"/>
        </c:manualLayout>
      </c:layout>
      <c:lineChart>
        <c:grouping val="standard"/>
        <c:varyColors val="0"/>
        <c:ser>
          <c:idx val="1"/>
          <c:order val="0"/>
          <c:tx>
            <c:v>Miembros por hogar</c:v>
          </c:tx>
          <c:spPr>
            <a:ln w="31750" cmpd="dbl">
              <a:solidFill>
                <a:srgbClr val="FFCD1E"/>
              </a:solidFill>
              <a:prstDash val="dashDot"/>
            </a:ln>
          </c:spPr>
          <c:marker>
            <c:symbol val="none"/>
          </c:marker>
          <c:cat>
            <c:strRef>
              <c:f>'c12 g1'!$C$71:$G$71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g1'!$C$72:$G$72</c:f>
              <c:numCache>
                <c:formatCode>#,##0.00</c:formatCode>
                <c:ptCount val="5"/>
                <c:pt idx="0">
                  <c:v>3.5</c:v>
                </c:pt>
                <c:pt idx="1">
                  <c:v>3.52</c:v>
                </c:pt>
                <c:pt idx="2">
                  <c:v>3.32</c:v>
                </c:pt>
                <c:pt idx="3">
                  <c:v>3.03</c:v>
                </c:pt>
                <c:pt idx="4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AC-4A85-B5F5-3B69DFA1059F}"/>
            </c:ext>
          </c:extLst>
        </c:ser>
        <c:ser>
          <c:idx val="0"/>
          <c:order val="1"/>
          <c:tx>
            <c:v>Ocupados por hogar</c:v>
          </c:tx>
          <c:spPr>
            <a:ln w="31750" cmpd="dbl">
              <a:solidFill>
                <a:srgbClr val="58B947"/>
              </a:solidFill>
              <a:prstDash val="lgDashDotDot"/>
            </a:ln>
          </c:spPr>
          <c:marker>
            <c:symbol val="none"/>
          </c:marker>
          <c:cat>
            <c:strRef>
              <c:f>'c12 g1'!$C$71:$G$71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g1'!$C$73:$G$73</c:f>
              <c:numCache>
                <c:formatCode>#,##0.00</c:formatCode>
                <c:ptCount val="5"/>
                <c:pt idx="0">
                  <c:v>0.75</c:v>
                </c:pt>
                <c:pt idx="1">
                  <c:v>1.18</c:v>
                </c:pt>
                <c:pt idx="2">
                  <c:v>1.53</c:v>
                </c:pt>
                <c:pt idx="3">
                  <c:v>1.68</c:v>
                </c:pt>
                <c:pt idx="4">
                  <c:v>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AC-4A85-B5F5-3B69DFA1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8389448"/>
        <c:axId val="1"/>
      </c:lineChart>
      <c:lineChart>
        <c:grouping val="standard"/>
        <c:varyColors val="0"/>
        <c:ser>
          <c:idx val="2"/>
          <c:order val="2"/>
          <c:tx>
            <c:v>Ingreso per cápita por hogar</c:v>
          </c:tx>
          <c:spPr>
            <a:ln w="31750" cap="rnd" cmpd="dbl">
              <a:solidFill>
                <a:srgbClr val="F04E23"/>
              </a:solidFill>
              <a:prstDash val="sysDash"/>
              <a:miter lim="800000"/>
              <a:tailEnd w="med" len="lg"/>
            </a:ln>
          </c:spPr>
          <c:marker>
            <c:symbol val="none"/>
          </c:marker>
          <c:cat>
            <c:strRef>
              <c:f>'c12 g1'!$C$71:$G$71</c:f>
              <c:strCache>
                <c:ptCount val="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</c:strCache>
            </c:strRef>
          </c:cat>
          <c:val>
            <c:numRef>
              <c:f>'c12 g1'!$C$74:$G$74</c:f>
              <c:numCache>
                <c:formatCode>###\ ###\ ##0</c:formatCode>
                <c:ptCount val="5"/>
                <c:pt idx="0">
                  <c:v>58527</c:v>
                </c:pt>
                <c:pt idx="1">
                  <c:v>130944</c:v>
                </c:pt>
                <c:pt idx="2">
                  <c:v>218965</c:v>
                </c:pt>
                <c:pt idx="3">
                  <c:v>375882</c:v>
                </c:pt>
                <c:pt idx="4">
                  <c:v>1063425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AC-4A85-B5F5-3B69DFA10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318389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Quintil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Número de personas</a:t>
                </a:r>
              </a:p>
            </c:rich>
          </c:tx>
          <c:layout>
            <c:manualLayout>
              <c:xMode val="edge"/>
              <c:yMode val="edge"/>
              <c:x val="3.273471250876249E-2"/>
              <c:y val="0.29863340399757721"/>
            </c:manualLayout>
          </c:layout>
          <c:overlay val="0"/>
        </c:title>
        <c:numFmt formatCode="#,##0.0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18389448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/>
                </a:pPr>
                <a:r>
                  <a:rPr lang="es-CR"/>
                  <a:t>Ingreso per cápita</a:t>
                </a:r>
              </a:p>
            </c:rich>
          </c:tx>
          <c:overlay val="0"/>
        </c:title>
        <c:numFmt formatCode="###\ ###\ ##0" sourceLinked="1"/>
        <c:majorTickMark val="cross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R"/>
          </a:p>
        </c:txPr>
        <c:crossAx val="3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6519215532841004"/>
          <c:y val="0.83436301231576826"/>
          <c:w val="0.33112926101628604"/>
          <c:h val="0.13968276801938218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chemeClr val="tx2"/>
          </a:solidFill>
          <a:latin typeface="+mn-lt"/>
          <a:ea typeface="Calibri"/>
          <a:cs typeface="Calibri"/>
        </a:defRPr>
      </a:pPr>
      <a:endParaRPr lang="es-CR"/>
    </a:p>
  </c:txPr>
  <c:printSettings>
    <c:headerFooter alignWithMargins="0"/>
    <c:pageMargins b="1" l="0.75000000000000144" r="0.75000000000000144" t="1" header="0" footer="0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las viviendas ocupadas por estado físico de la vivienda según región,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'c16'!$C$5</c:f>
              <c:strCache>
                <c:ptCount val="1"/>
                <c:pt idx="0">
                  <c:v>Bueno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'c16'!$B$9:$B$14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'c16'!$C$9:$C$14</c:f>
              <c:numCache>
                <c:formatCode>#,##0</c:formatCode>
                <c:ptCount val="6"/>
                <c:pt idx="0">
                  <c:v>630476</c:v>
                </c:pt>
                <c:pt idx="1">
                  <c:v>57094</c:v>
                </c:pt>
                <c:pt idx="2">
                  <c:v>42043</c:v>
                </c:pt>
                <c:pt idx="3">
                  <c:v>57557</c:v>
                </c:pt>
                <c:pt idx="4">
                  <c:v>59070</c:v>
                </c:pt>
                <c:pt idx="5">
                  <c:v>59523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F2-40AF-8CE4-7500A83E047D}"/>
            </c:ext>
          </c:extLst>
        </c:ser>
        <c:ser>
          <c:idx val="1"/>
          <c:order val="1"/>
          <c:tx>
            <c:strRef>
              <c:f>'c16'!$D$5</c:f>
              <c:strCache>
                <c:ptCount val="1"/>
                <c:pt idx="0">
                  <c:v>Regular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'c16'!$B$9:$B$14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'c16'!$D$9:$D$14</c:f>
              <c:numCache>
                <c:formatCode>#,##0</c:formatCode>
                <c:ptCount val="6"/>
                <c:pt idx="0">
                  <c:v>264116</c:v>
                </c:pt>
                <c:pt idx="1">
                  <c:v>50777</c:v>
                </c:pt>
                <c:pt idx="2">
                  <c:v>37267</c:v>
                </c:pt>
                <c:pt idx="3">
                  <c:v>50318</c:v>
                </c:pt>
                <c:pt idx="4">
                  <c:v>54019</c:v>
                </c:pt>
                <c:pt idx="5">
                  <c:v>44873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F2-40AF-8CE4-7500A83E047D}"/>
            </c:ext>
          </c:extLst>
        </c:ser>
        <c:ser>
          <c:idx val="2"/>
          <c:order val="2"/>
          <c:tx>
            <c:strRef>
              <c:f>'c16'!$E$5</c:f>
              <c:strCache>
                <c:ptCount val="1"/>
                <c:pt idx="0">
                  <c:v>Malo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strRef>
              <c:f>'c16'!$B$9:$B$14</c:f>
              <c:strCache>
                <c:ptCount val="6"/>
                <c:pt idx="0">
                  <c:v>  Central</c:v>
                </c:pt>
                <c:pt idx="1">
                  <c:v>  Chorotega</c:v>
                </c:pt>
                <c:pt idx="2">
                  <c:v>  Pacífico Central</c:v>
                </c:pt>
                <c:pt idx="3">
                  <c:v>  Brunca</c:v>
                </c:pt>
                <c:pt idx="4">
                  <c:v>  Huetar Caribe</c:v>
                </c:pt>
                <c:pt idx="5">
                  <c:v>  Huetar Norte</c:v>
                </c:pt>
              </c:strCache>
            </c:strRef>
          </c:cat>
          <c:val>
            <c:numRef>
              <c:f>'c16'!$E$9:$E$14</c:f>
              <c:numCache>
                <c:formatCode>#,##0</c:formatCode>
                <c:ptCount val="6"/>
                <c:pt idx="0">
                  <c:v>54868</c:v>
                </c:pt>
                <c:pt idx="1">
                  <c:v>10347</c:v>
                </c:pt>
                <c:pt idx="2">
                  <c:v>12960</c:v>
                </c:pt>
                <c:pt idx="3">
                  <c:v>15573</c:v>
                </c:pt>
                <c:pt idx="4">
                  <c:v>24377</c:v>
                </c:pt>
                <c:pt idx="5">
                  <c:v>14771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F2-40AF-8CE4-7500A83E04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6982392"/>
        <c:axId val="576986984"/>
        <c:axId val="0"/>
      </c:bar3DChart>
      <c:catAx>
        <c:axId val="576982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986984"/>
        <c:crosses val="autoZero"/>
        <c:auto val="1"/>
        <c:lblAlgn val="ctr"/>
        <c:lblOffset val="100"/>
        <c:noMultiLvlLbl val="0"/>
      </c:catAx>
      <c:valAx>
        <c:axId val="57698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769823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R" b="1"/>
              <a:t>Total de viviendas ocupadas por calificación de la vivienda según región, 2018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s-C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'c17'!$B$6</c:f>
              <c:strCache>
                <c:ptCount val="1"/>
                <c:pt idx="0">
                  <c:v>  Inaceptables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cat>
            <c:strRef>
              <c:f>'c17'!$D$5:$I$5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'c17'!$D$6:$I$6</c:f>
              <c:numCache>
                <c:formatCode>#,##0</c:formatCode>
                <c:ptCount val="6"/>
                <c:pt idx="0">
                  <c:v>55173</c:v>
                </c:pt>
                <c:pt idx="1">
                  <c:v>10448</c:v>
                </c:pt>
                <c:pt idx="2">
                  <c:v>12960</c:v>
                </c:pt>
                <c:pt idx="3">
                  <c:v>15684</c:v>
                </c:pt>
                <c:pt idx="4">
                  <c:v>24377</c:v>
                </c:pt>
                <c:pt idx="5">
                  <c:v>15027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7-4CAF-9B7B-28DB2DB2E6F3}"/>
            </c:ext>
          </c:extLst>
        </c:ser>
        <c:ser>
          <c:idx val="1"/>
          <c:order val="1"/>
          <c:tx>
            <c:strRef>
              <c:f>'c17'!$B$7</c:f>
              <c:strCache>
                <c:ptCount val="1"/>
                <c:pt idx="0">
                  <c:v>  Deficientes</c:v>
                </c:pt>
              </c:strCache>
            </c:strRef>
          </c:tx>
          <c:spPr>
            <a:solidFill>
              <a:schemeClr val="accent3"/>
            </a:solidFill>
            <a:ln w="9525" cap="flat" cmpd="sng" algn="ctr">
              <a:solidFill>
                <a:schemeClr val="accent3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3"/>
              </a:contourClr>
            </a:sp3d>
          </c:spPr>
          <c:invertIfNegative val="0"/>
          <c:cat>
            <c:strRef>
              <c:f>'c17'!$D$5:$I$5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'c17'!$D$7:$I$7</c:f>
              <c:numCache>
                <c:formatCode>#,##0</c:formatCode>
                <c:ptCount val="6"/>
                <c:pt idx="0">
                  <c:v>14614</c:v>
                </c:pt>
                <c:pt idx="1">
                  <c:v>3760</c:v>
                </c:pt>
                <c:pt idx="2">
                  <c:v>4226</c:v>
                </c:pt>
                <c:pt idx="3">
                  <c:v>1654</c:v>
                </c:pt>
                <c:pt idx="4">
                  <c:v>4595</c:v>
                </c:pt>
                <c:pt idx="5">
                  <c:v>4931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B7-4CAF-9B7B-28DB2DB2E6F3}"/>
            </c:ext>
          </c:extLst>
        </c:ser>
        <c:ser>
          <c:idx val="2"/>
          <c:order val="2"/>
          <c:tx>
            <c:strRef>
              <c:f>'c17'!$B$8</c:f>
              <c:strCache>
                <c:ptCount val="1"/>
                <c:pt idx="0">
                  <c:v>  Aceptables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tx2">
                  <a:lumMod val="75000"/>
                </a:schemeClr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tx2">
                  <a:lumMod val="75000"/>
                </a:schemeClr>
              </a:contourClr>
            </a:sp3d>
          </c:spPr>
          <c:invertIfNegative val="0"/>
          <c:cat>
            <c:strRef>
              <c:f>'c17'!$D$5:$I$5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'c17'!$D$8:$I$8</c:f>
              <c:numCache>
                <c:formatCode>#,##0</c:formatCode>
                <c:ptCount val="6"/>
                <c:pt idx="0">
                  <c:v>264759</c:v>
                </c:pt>
                <c:pt idx="1">
                  <c:v>50210</c:v>
                </c:pt>
                <c:pt idx="2">
                  <c:v>36430</c:v>
                </c:pt>
                <c:pt idx="3">
                  <c:v>55054</c:v>
                </c:pt>
                <c:pt idx="4">
                  <c:v>56088</c:v>
                </c:pt>
                <c:pt idx="5">
                  <c:v>45868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B7-4CAF-9B7B-28DB2DB2E6F3}"/>
            </c:ext>
          </c:extLst>
        </c:ser>
        <c:ser>
          <c:idx val="3"/>
          <c:order val="3"/>
          <c:tx>
            <c:strRef>
              <c:f>'c17'!$B$9</c:f>
              <c:strCache>
                <c:ptCount val="1"/>
                <c:pt idx="0">
                  <c:v>  Óptimas</c:v>
                </c:pt>
              </c:strCache>
            </c:strRef>
          </c:tx>
          <c:spPr>
            <a:solidFill>
              <a:schemeClr val="accent2"/>
            </a:solidFill>
            <a:ln w="9525" cap="flat" cmpd="sng" algn="ctr">
              <a:solidFill>
                <a:schemeClr val="accent2"/>
              </a:solidFill>
              <a:round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  <a:sp3d contourW="9525">
              <a:contourClr>
                <a:schemeClr val="accent2"/>
              </a:contourClr>
            </a:sp3d>
          </c:spPr>
          <c:invertIfNegative val="0"/>
          <c:cat>
            <c:strRef>
              <c:f>'c17'!$D$5:$I$5</c:f>
              <c:strCache>
                <c:ptCount val="6"/>
                <c:pt idx="0">
                  <c:v>Central </c:v>
                </c:pt>
                <c:pt idx="1">
                  <c:v>Chorotega</c:v>
                </c:pt>
                <c:pt idx="2">
                  <c:v>Pacífico Central</c:v>
                </c:pt>
                <c:pt idx="3">
                  <c:v>Brunca</c:v>
                </c:pt>
                <c:pt idx="4">
                  <c:v>Huetar Caribe</c:v>
                </c:pt>
                <c:pt idx="5">
                  <c:v>Huetar Norte</c:v>
                </c:pt>
              </c:strCache>
            </c:strRef>
          </c:cat>
          <c:val>
            <c:numRef>
              <c:f>'c17'!$D$9:$I$9</c:f>
              <c:numCache>
                <c:formatCode>#,##0</c:formatCode>
                <c:ptCount val="6"/>
                <c:pt idx="0">
                  <c:v>614914</c:v>
                </c:pt>
                <c:pt idx="1">
                  <c:v>53800</c:v>
                </c:pt>
                <c:pt idx="2">
                  <c:v>38654</c:v>
                </c:pt>
                <c:pt idx="3">
                  <c:v>51056</c:v>
                </c:pt>
                <c:pt idx="4">
                  <c:v>52406</c:v>
                </c:pt>
                <c:pt idx="5">
                  <c:v>53341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B7-4CAF-9B7B-28DB2DB2E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96643808"/>
        <c:axId val="596644464"/>
        <c:axId val="0"/>
      </c:bar3DChart>
      <c:catAx>
        <c:axId val="5966438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6644464"/>
        <c:crosses val="autoZero"/>
        <c:auto val="1"/>
        <c:lblAlgn val="ctr"/>
        <c:lblOffset val="100"/>
        <c:noMultiLvlLbl val="0"/>
      </c:catAx>
      <c:valAx>
        <c:axId val="596644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tx1">
                  <a:lumMod val="5000"/>
                  <a:lumOff val="95000"/>
                </a:schemeClr>
              </a:solidFill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  <c:crossAx val="5966438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R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8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8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/Relationships>

</file>

<file path=xl/drawings/_rels/drawing10.xml.rels><?xml version="1.0" encoding="UTF-8" standalone="no"?>
<Relationships xmlns="http://schemas.openxmlformats.org/package/2006/relationships">
<Relationship Id="rId1" Target="../charts/chart8.xml" Type="http://schemas.openxmlformats.org/officeDocument/2006/relationships/chart"/>
</Relationships>

</file>

<file path=xl/drawings/_rels/drawing11.xml.rels><?xml version="1.0" encoding="UTF-8" standalone="no"?>
<Relationships xmlns="http://schemas.openxmlformats.org/package/2006/relationships">
<Relationship Id="rId1" Target="../charts/chart9.xml" Type="http://schemas.openxmlformats.org/officeDocument/2006/relationships/chart"/>
</Relationships>

</file>

<file path=xl/drawings/_rels/drawing12.xml.rels><?xml version="1.0" encoding="UTF-8" standalone="no"?>
<Relationships xmlns="http://schemas.openxmlformats.org/package/2006/relationships">
<Relationship Id="rId1" Target="../charts/chart10.xml" Type="http://schemas.openxmlformats.org/officeDocument/2006/relationships/chart"/>
</Relationships>

</file>

<file path=xl/drawings/_rels/drawing13.xml.rels><?xml version="1.0" encoding="UTF-8" standalone="no"?>
<Relationships xmlns="http://schemas.openxmlformats.org/package/2006/relationships">
<Relationship Id="rId1" Target="../charts/chart11.xml" Type="http://schemas.openxmlformats.org/officeDocument/2006/relationships/chart"/>
</Relationships>

</file>

<file path=xl/drawings/_rels/drawing14.xml.rels><?xml version="1.0" encoding="UTF-8" standalone="no"?>
<Relationships xmlns="http://schemas.openxmlformats.org/package/2006/relationships">
<Relationship Id="rId1" Target="../charts/chart12.xml" Type="http://schemas.openxmlformats.org/officeDocument/2006/relationships/chart"/>
</Relationships>

</file>

<file path=xl/drawings/_rels/drawing15.xml.rels><?xml version="1.0" encoding="UTF-8" standalone="no"?>
<Relationships xmlns="http://schemas.openxmlformats.org/package/2006/relationships">
<Relationship Id="rId1" Target="../charts/chart13.xml" Type="http://schemas.openxmlformats.org/officeDocument/2006/relationships/chart"/>
</Relationships>

</file>

<file path=xl/drawings/_rels/drawing16.xml.rels><?xml version="1.0" encoding="UTF-8" standalone="no"?>
<Relationships xmlns="http://schemas.openxmlformats.org/package/2006/relationships">
<Relationship Id="rId1" Target="../charts/chart14.xml" Type="http://schemas.openxmlformats.org/officeDocument/2006/relationships/chart"/>
</Relationships>

</file>

<file path=xl/drawings/_rels/drawing17.xml.rels><?xml version="1.0" encoding="UTF-8" standalone="no"?>
<Relationships xmlns="http://schemas.openxmlformats.org/package/2006/relationships">
<Relationship Id="rId1" Target="../charts/chart15.xml" Type="http://schemas.openxmlformats.org/officeDocument/2006/relationships/chart"/>
</Relationships>

</file>

<file path=xl/drawings/_rels/drawing18.xml.rels><?xml version="1.0" encoding="UTF-8" standalone="no"?>
<Relationships xmlns="http://schemas.openxmlformats.org/package/2006/relationships">
<Relationship Id="rId1" Target="../charts/chart16.xml" Type="http://schemas.openxmlformats.org/officeDocument/2006/relationships/chart"/>
</Relationships>

</file>

<file path=xl/drawings/_rels/drawing19.xml.rels><?xml version="1.0" encoding="UTF-8" standalone="no"?>
<Relationships xmlns="http://schemas.openxmlformats.org/package/2006/relationships">
<Relationship Id="rId1" Target="../charts/chart17.xml" Type="http://schemas.openxmlformats.org/officeDocument/2006/relationships/chart"/>
</Relationships>

</file>

<file path=xl/drawings/_rels/drawing2.xml.rels><?xml version="1.0" encoding="UTF-8" standalone="no"?>
<Relationships xmlns="http://schemas.openxmlformats.org/package/2006/relationships">
<Relationship Id="rId1" Target="../charts/chart1.xml" Type="http://schemas.openxmlformats.org/officeDocument/2006/relationships/chart"/>
</Relationships>

</file>

<file path=xl/drawings/_rels/drawing21.xml.rels><?xml version="1.0" encoding="UTF-8" standalone="no"?>
<Relationships xmlns="http://schemas.openxmlformats.org/package/2006/relationships">
<Relationship Id="rId1" Target="../charts/chart18.xml" Type="http://schemas.openxmlformats.org/officeDocument/2006/relationships/chart"/>
</Relationships>

</file>

<file path=xl/drawings/_rels/drawing22.xml.rels><?xml version="1.0" encoding="UTF-8" standalone="no"?>
<Relationships xmlns="http://schemas.openxmlformats.org/package/2006/relationships">
<Relationship Id="rId1" Target="../charts/chart19.xml" Type="http://schemas.openxmlformats.org/officeDocument/2006/relationships/chart"/>
</Relationships>

</file>

<file path=xl/drawings/_rels/drawing23.xml.rels><?xml version="1.0" encoding="UTF-8" standalone="no"?>
<Relationships xmlns="http://schemas.openxmlformats.org/package/2006/relationships">
<Relationship Id="rId1" Target="../charts/chart20.xml" Type="http://schemas.openxmlformats.org/officeDocument/2006/relationships/chart"/>
</Relationships>

</file>

<file path=xl/drawings/_rels/drawing24.xml.rels><?xml version="1.0" encoding="UTF-8" standalone="no"?>
<Relationships xmlns="http://schemas.openxmlformats.org/package/2006/relationships">
<Relationship Id="rId1" Target="../charts/chart21.xml" Type="http://schemas.openxmlformats.org/officeDocument/2006/relationships/chart"/>
</Relationships>

</file>

<file path=xl/drawings/_rels/drawing25.xml.rels><?xml version="1.0" encoding="UTF-8" standalone="no"?>
<Relationships xmlns="http://schemas.openxmlformats.org/package/2006/relationships">
<Relationship Id="rId1" Target="../charts/chart22.xml" Type="http://schemas.openxmlformats.org/officeDocument/2006/relationships/chart"/>
</Relationships>

</file>

<file path=xl/drawings/_rels/drawing26.xml.rels><?xml version="1.0" encoding="UTF-8" standalone="no"?>
<Relationships xmlns="http://schemas.openxmlformats.org/package/2006/relationships">
<Relationship Id="rId1" Target="../charts/chart23.xml" Type="http://schemas.openxmlformats.org/officeDocument/2006/relationships/chart"/>
</Relationships>

</file>

<file path=xl/drawings/_rels/drawing27.xml.rels><?xml version="1.0" encoding="UTF-8" standalone="no"?>
<Relationships xmlns="http://schemas.openxmlformats.org/package/2006/relationships">
<Relationship Id="rId1" Target="../charts/chart24.xml" Type="http://schemas.openxmlformats.org/officeDocument/2006/relationships/chart"/>
</Relationships>

</file>

<file path=xl/drawings/_rels/drawing28.xml.rels><?xml version="1.0" encoding="UTF-8" standalone="no"?>
<Relationships xmlns="http://schemas.openxmlformats.org/package/2006/relationships">
<Relationship Id="rId1" Target="../charts/chart25.xml" Type="http://schemas.openxmlformats.org/officeDocument/2006/relationships/chart"/>
</Relationships>

</file>

<file path=xl/drawings/_rels/drawing29.xml.rels><?xml version="1.0" encoding="UTF-8" standalone="no"?>
<Relationships xmlns="http://schemas.openxmlformats.org/package/2006/relationships">
<Relationship Id="rId1" Target="../charts/chart26.xml" Type="http://schemas.openxmlformats.org/officeDocument/2006/relationships/chart"/>
</Relationships>

</file>

<file path=xl/drawings/_rels/drawing3.xml.rels><?xml version="1.0" encoding="UTF-8" standalone="no"?>
<Relationships xmlns="http://schemas.openxmlformats.org/package/2006/relationships">
<Relationship Id="rId1" Target="../charts/chart2.xml" Type="http://schemas.openxmlformats.org/officeDocument/2006/relationships/chart"/>
</Relationships>

</file>

<file path=xl/drawings/_rels/drawing30.xml.rels><?xml version="1.0" encoding="UTF-8" standalone="no"?>
<Relationships xmlns="http://schemas.openxmlformats.org/package/2006/relationships">
<Relationship Id="rId1" Target="../charts/chart27.xml" Type="http://schemas.openxmlformats.org/officeDocument/2006/relationships/chart"/>
</Relationships>

</file>

<file path=xl/drawings/_rels/drawing31.xml.rels><?xml version="1.0" encoding="UTF-8" standalone="no"?>
<Relationships xmlns="http://schemas.openxmlformats.org/package/2006/relationships">
<Relationship Id="rId1" Target="../charts/chart28.xml" Type="http://schemas.openxmlformats.org/officeDocument/2006/relationships/chart"/>
</Relationships>

</file>

<file path=xl/drawings/_rels/drawing32.xml.rels><?xml version="1.0" encoding="UTF-8" standalone="no"?>
<Relationships xmlns="http://schemas.openxmlformats.org/package/2006/relationships">
<Relationship Id="rId1" Target="../charts/chart29.xml" Type="http://schemas.openxmlformats.org/officeDocument/2006/relationships/chart"/>
</Relationships>

</file>

<file path=xl/drawings/_rels/drawing33.xml.rels><?xml version="1.0" encoding="UTF-8" standalone="no"?>
<Relationships xmlns="http://schemas.openxmlformats.org/package/2006/relationships">
<Relationship Id="rId1" Target="../charts/chart30.xml" Type="http://schemas.openxmlformats.org/officeDocument/2006/relationships/chart"/>
</Relationships>

</file>

<file path=xl/drawings/_rels/drawing34.xml.rels><?xml version="1.0" encoding="UTF-8" standalone="no"?>
<Relationships xmlns="http://schemas.openxmlformats.org/package/2006/relationships">
<Relationship Id="rId1" Target="../charts/chart31.xml" Type="http://schemas.openxmlformats.org/officeDocument/2006/relationships/chart"/>
</Relationships>

</file>

<file path=xl/drawings/_rels/drawing4.xml.rels><?xml version="1.0" encoding="UTF-8" standalone="no"?>
<Relationships xmlns="http://schemas.openxmlformats.org/package/2006/relationships">
<Relationship Id="rId1" Target="../charts/chart3.xml" Type="http://schemas.openxmlformats.org/officeDocument/2006/relationships/chart"/>
</Relationships>

</file>

<file path=xl/drawings/_rels/drawing5.xml.rels><?xml version="1.0" encoding="UTF-8" standalone="no"?>
<Relationships xmlns="http://schemas.openxmlformats.org/package/2006/relationships">
<Relationship Id="rId1" Target="../charts/chart4.xml" Type="http://schemas.openxmlformats.org/officeDocument/2006/relationships/chart"/>
</Relationships>

</file>

<file path=xl/drawings/_rels/drawing6.xml.rels><?xml version="1.0" encoding="UTF-8" standalone="no"?>
<Relationships xmlns="http://schemas.openxmlformats.org/package/2006/relationships">
<Relationship Id="rId1" Target="../charts/chart5.xml" Type="http://schemas.openxmlformats.org/officeDocument/2006/relationships/chart"/>
</Relationships>

</file>

<file path=xl/drawings/_rels/drawing7.xml.rels><?xml version="1.0" encoding="UTF-8" standalone="no"?>
<Relationships xmlns="http://schemas.openxmlformats.org/package/2006/relationships">
<Relationship Id="rId1" Target="../charts/chart6.xml" Type="http://schemas.openxmlformats.org/officeDocument/2006/relationships/chart"/>
</Relationships>

</file>

<file path=xl/drawings/_rels/drawing8.xml.rels><?xml version="1.0" encoding="UTF-8" standalone="no"?>
<Relationships xmlns="http://schemas.openxmlformats.org/package/2006/relationships">
<Relationship Id="rId1" Target="../charts/chart7.xml" Type="http://schemas.openxmlformats.org/officeDocument/2006/relationships/chart"/>
</Relationships>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7</xdr:row>
      <xdr:rowOff>38100</xdr:rowOff>
    </xdr:from>
    <xdr:to>
      <xdr:col>10</xdr:col>
      <xdr:colOff>676275</xdr:colOff>
      <xdr:row>16</xdr:row>
      <xdr:rowOff>114300</xdr:rowOff>
    </xdr:to>
    <xdr:pic>
      <xdr:nvPicPr>
        <xdr:cNvPr id="40148205" name="Imagen 3">
          <a:extLst>
            <a:ext uri="{FF2B5EF4-FFF2-40B4-BE49-F238E27FC236}">
              <a16:creationId xmlns:a16="http://schemas.microsoft.com/office/drawing/2014/main" id="{0A846B4F-9E53-4E09-AE25-6D0A20BE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43675" y="361950"/>
          <a:ext cx="4219575" cy="1533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200024</xdr:colOff>
      <xdr:row>7</xdr:row>
      <xdr:rowOff>33336</xdr:rowOff>
    </xdr:from>
    <xdr:to>
      <xdr:col>8</xdr:col>
      <xdr:colOff>1257299</xdr:colOff>
      <xdr:row>26</xdr:row>
      <xdr:rowOff>180975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4280612-6736-4944-ABCF-A99EF37FE2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609600</xdr:colOff>
      <xdr:row>14</xdr:row>
      <xdr:rowOff>133349</xdr:rowOff>
    </xdr:from>
    <xdr:to>
      <xdr:col>9</xdr:col>
      <xdr:colOff>600075</xdr:colOff>
      <xdr:row>45</xdr:row>
      <xdr:rowOff>9525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5ABB8C5-4A5C-4E0E-BA16-A49DA12DC7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742950</xdr:colOff>
      <xdr:row>9</xdr:row>
      <xdr:rowOff>147637</xdr:rowOff>
    </xdr:from>
    <xdr:to>
      <xdr:col>16</xdr:col>
      <xdr:colOff>552450</xdr:colOff>
      <xdr:row>29</xdr:row>
      <xdr:rowOff>123825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778B9B0-0F47-4171-885A-AC42D3AB1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771525</xdr:colOff>
      <xdr:row>7</xdr:row>
      <xdr:rowOff>166686</xdr:rowOff>
    </xdr:from>
    <xdr:to>
      <xdr:col>15</xdr:col>
      <xdr:colOff>133350</xdr:colOff>
      <xdr:row>25</xdr:row>
      <xdr:rowOff>152399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74655DD5-15B6-4950-BD41-1A57B538C2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447675</xdr:colOff>
      <xdr:row>13</xdr:row>
      <xdr:rowOff>119061</xdr:rowOff>
    </xdr:from>
    <xdr:to>
      <xdr:col>11</xdr:col>
      <xdr:colOff>371475</xdr:colOff>
      <xdr:row>34</xdr:row>
      <xdr:rowOff>104774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8E271601-3DCB-4599-8503-F0850D122B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8</xdr:row>
      <xdr:rowOff>152399</xdr:rowOff>
    </xdr:from>
    <xdr:to>
      <xdr:col>16</xdr:col>
      <xdr:colOff>133350</xdr:colOff>
      <xdr:row>28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EB9C54-632F-44FC-A2A8-0488FAA06E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19049</xdr:colOff>
      <xdr:row>15</xdr:row>
      <xdr:rowOff>138112</xdr:rowOff>
    </xdr:from>
    <xdr:to>
      <xdr:col>7</xdr:col>
      <xdr:colOff>352425</xdr:colOff>
      <xdr:row>33</xdr:row>
      <xdr:rowOff>142875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EFD134DD-FBA0-4D45-B81C-756E54714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2543174</xdr:colOff>
      <xdr:row>18</xdr:row>
      <xdr:rowOff>47625</xdr:rowOff>
    </xdr:from>
    <xdr:to>
      <xdr:col>7</xdr:col>
      <xdr:colOff>104775</xdr:colOff>
      <xdr:row>38</xdr:row>
      <xdr:rowOff>104775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79D27E0D-A904-4549-8398-2BDD30AEF5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95250</xdr:colOff>
      <xdr:row>20</xdr:row>
      <xdr:rowOff>123825</xdr:rowOff>
    </xdr:from>
    <xdr:to>
      <xdr:col>11</xdr:col>
      <xdr:colOff>219075</xdr:colOff>
      <xdr:row>47</xdr:row>
      <xdr:rowOff>28575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0529B37-5A27-44AE-909D-685C3B1CE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685800</xdr:colOff>
      <xdr:row>22</xdr:row>
      <xdr:rowOff>129429</xdr:rowOff>
    </xdr:from>
    <xdr:to>
      <xdr:col>7</xdr:col>
      <xdr:colOff>952500</xdr:colOff>
      <xdr:row>44</xdr:row>
      <xdr:rowOff>129429</xdr:rowOff>
    </xdr:to>
    <xdr:graphicFrame macro="">
      <xdr:nvGraphicFramePr>
        <xdr:cNvPr id="40151277" name="Chart 9">
          <a:extLst>
            <a:ext uri="{FF2B5EF4-FFF2-40B4-BE49-F238E27FC236}">
              <a16:creationId xmlns:a16="http://schemas.microsoft.com/office/drawing/2014/main" id="{47C31BF1-088E-45B1-B590-5D30299CB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247650</xdr:colOff>
      <xdr:row>6</xdr:row>
      <xdr:rowOff>114300</xdr:rowOff>
    </xdr:from>
    <xdr:to>
      <xdr:col>14</xdr:col>
      <xdr:colOff>190500</xdr:colOff>
      <xdr:row>33</xdr:row>
      <xdr:rowOff>47625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91E47A6-F552-4BDC-A437-4055BB757C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0.76672</cdr:x>
      <cdr:y>0.90497</cdr:y>
    </cdr:from>
    <cdr:to>
      <cdr:x>0.97913</cdr:x>
      <cdr:y>0.96253</cdr:y>
    </cdr:to>
    <cdr:sp macro="" textlink="">
      <cdr:nvSpPr>
        <cdr:cNvPr id="141313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14023" y="3015823"/>
          <a:ext cx="1086577" cy="21315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7432" rIns="27432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Fuente: Cuadro 31</a:t>
          </a: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790573</xdr:colOff>
      <xdr:row>7</xdr:row>
      <xdr:rowOff>0</xdr:rowOff>
    </xdr:from>
    <xdr:to>
      <xdr:col>20</xdr:col>
      <xdr:colOff>342899</xdr:colOff>
      <xdr:row>35</xdr:row>
      <xdr:rowOff>142875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2BC3FD69-1331-48B8-AFA1-5830AD45BA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428623</xdr:colOff>
      <xdr:row>9</xdr:row>
      <xdr:rowOff>4761</xdr:rowOff>
    </xdr:from>
    <xdr:to>
      <xdr:col>21</xdr:col>
      <xdr:colOff>142875</xdr:colOff>
      <xdr:row>41</xdr:row>
      <xdr:rowOff>28574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58D6DA0-A4E0-4B24-B958-F820DF70D0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628648</xdr:colOff>
      <xdr:row>9</xdr:row>
      <xdr:rowOff>161925</xdr:rowOff>
    </xdr:from>
    <xdr:to>
      <xdr:col>20</xdr:col>
      <xdr:colOff>323850</xdr:colOff>
      <xdr:row>34</xdr:row>
      <xdr:rowOff>66675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2AF086A-2A80-4E47-B693-404FBF9B85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447674</xdr:colOff>
      <xdr:row>9</xdr:row>
      <xdr:rowOff>142875</xdr:rowOff>
    </xdr:from>
    <xdr:to>
      <xdr:col>20</xdr:col>
      <xdr:colOff>57149</xdr:colOff>
      <xdr:row>40</xdr:row>
      <xdr:rowOff>85725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80BB347-1A43-4AE3-A222-F8B6CE09D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714374</xdr:colOff>
      <xdr:row>11</xdr:row>
      <xdr:rowOff>71436</xdr:rowOff>
    </xdr:from>
    <xdr:to>
      <xdr:col>20</xdr:col>
      <xdr:colOff>419099</xdr:colOff>
      <xdr:row>44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E81BD45-111D-4CAE-BC93-BA7CF1217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723900</xdr:colOff>
      <xdr:row>5</xdr:row>
      <xdr:rowOff>123824</xdr:rowOff>
    </xdr:from>
    <xdr:to>
      <xdr:col>16</xdr:col>
      <xdr:colOff>38100</xdr:colOff>
      <xdr:row>29</xdr:row>
      <xdr:rowOff>114300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8B3C39E-C379-40CA-AE21-1034D90DDE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6</xdr:row>
      <xdr:rowOff>176212</xdr:rowOff>
    </xdr:from>
    <xdr:to>
      <xdr:col>16</xdr:col>
      <xdr:colOff>581025</xdr:colOff>
      <xdr:row>25</xdr:row>
      <xdr:rowOff>38100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5F2206BC-E20F-492A-B780-FFEE7B0C9D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438150</xdr:colOff>
      <xdr:row>10</xdr:row>
      <xdr:rowOff>47625</xdr:rowOff>
    </xdr:from>
    <xdr:to>
      <xdr:col>23</xdr:col>
      <xdr:colOff>752475</xdr:colOff>
      <xdr:row>39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66DE881-1266-4E51-B7AB-AFD9C857B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4</xdr:row>
      <xdr:rowOff>47624</xdr:rowOff>
    </xdr:from>
    <xdr:to>
      <xdr:col>11</xdr:col>
      <xdr:colOff>476250</xdr:colOff>
      <xdr:row>20</xdr:row>
      <xdr:rowOff>123824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28C85AD-6A48-4C64-862A-9FF3746051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104775</xdr:colOff>
      <xdr:row>10</xdr:row>
      <xdr:rowOff>100012</xdr:rowOff>
    </xdr:from>
    <xdr:to>
      <xdr:col>14</xdr:col>
      <xdr:colOff>104775</xdr:colOff>
      <xdr:row>26</xdr:row>
      <xdr:rowOff>128587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7B3C4E4-545F-470A-AA0F-6AE5DC868D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514350</xdr:colOff>
      <xdr:row>4</xdr:row>
      <xdr:rowOff>66675</xdr:rowOff>
    </xdr:from>
    <xdr:to>
      <xdr:col>12</xdr:col>
      <xdr:colOff>19050</xdr:colOff>
      <xdr:row>23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CC843882-1123-4BE1-8E58-F84C2C931A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219075</xdr:colOff>
      <xdr:row>4</xdr:row>
      <xdr:rowOff>47625</xdr:rowOff>
    </xdr:from>
    <xdr:to>
      <xdr:col>11</xdr:col>
      <xdr:colOff>485775</xdr:colOff>
      <xdr:row>23</xdr:row>
      <xdr:rowOff>28575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6D7518F-D5B8-46B4-9D95-3116B149A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4</xdr:row>
      <xdr:rowOff>57150</xdr:rowOff>
    </xdr:from>
    <xdr:to>
      <xdr:col>12</xdr:col>
      <xdr:colOff>66675</xdr:colOff>
      <xdr:row>23</xdr:row>
      <xdr:rowOff>57150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FACD8F4-E256-4664-A49B-85A088EB1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342900</xdr:colOff>
      <xdr:row>5</xdr:row>
      <xdr:rowOff>161925</xdr:rowOff>
    </xdr:from>
    <xdr:to>
      <xdr:col>24</xdr:col>
      <xdr:colOff>657225</xdr:colOff>
      <xdr:row>36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2144520-69B5-4E48-8EDB-27F661624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</xdr:row>
      <xdr:rowOff>161925</xdr:rowOff>
    </xdr:from>
    <xdr:to>
      <xdr:col>9</xdr:col>
      <xdr:colOff>209550</xdr:colOff>
      <xdr:row>14</xdr:row>
      <xdr:rowOff>47625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56BB78FE-BE46-4ED1-869B-9B672F0304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DF67E460-B425-4BB8-9903-D1FFEB2570D3}"/>
            </a:ext>
          </a:extLst>
        </xdr:cNvPr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Solo para uso de Esri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161925</xdr:colOff>
      <xdr:row>10</xdr:row>
      <xdr:rowOff>66675</xdr:rowOff>
    </xdr:from>
    <xdr:to>
      <xdr:col>13</xdr:col>
      <xdr:colOff>161925</xdr:colOff>
      <xdr:row>26</xdr:row>
      <xdr:rowOff>142875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AF61D49-28C1-48D8-8AE6-7DFD5C88E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228601</xdr:colOff>
      <xdr:row>17</xdr:row>
      <xdr:rowOff>76200</xdr:rowOff>
    </xdr:from>
    <xdr:to>
      <xdr:col>21</xdr:col>
      <xdr:colOff>628651</xdr:colOff>
      <xdr:row>47</xdr:row>
      <xdr:rowOff>95250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E5517B3-F719-4C73-96E6-3431399237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9</xdr:row>
      <xdr:rowOff>176211</xdr:rowOff>
    </xdr:from>
    <xdr:to>
      <xdr:col>15</xdr:col>
      <xdr:colOff>638175</xdr:colOff>
      <xdr:row>25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65FE79B-3636-44B6-95D6-F7488A1058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657223</xdr:colOff>
      <xdr:row>8</xdr:row>
      <xdr:rowOff>104774</xdr:rowOff>
    </xdr:from>
    <xdr:to>
      <xdr:col>16</xdr:col>
      <xdr:colOff>600075</xdr:colOff>
      <xdr:row>29</xdr:row>
      <xdr:rowOff>104775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67C6F95-64CB-4E8B-B817-51759547F2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2533650</xdr:colOff>
      <xdr:row>39</xdr:row>
      <xdr:rowOff>28575</xdr:rowOff>
    </xdr:from>
    <xdr:to>
      <xdr:col>6</xdr:col>
      <xdr:colOff>981075</xdr:colOff>
      <xdr:row>63</xdr:row>
      <xdr:rowOff>104775</xdr:rowOff>
    </xdr:to>
    <xdr:graphicFrame macro="">
      <xdr:nvGraphicFramePr>
        <xdr:cNvPr id="40149229" name="Chart 3">
          <a:extLst>
            <a:ext uri="{FF2B5EF4-FFF2-40B4-BE49-F238E27FC236}">
              <a16:creationId xmlns:a16="http://schemas.microsoft.com/office/drawing/2014/main" id="{0E95E4FD-C59C-48A7-957C-B7879ECBB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0.02113</cdr:x>
      <cdr:y>0.93995</cdr:y>
    </cdr:from>
    <cdr:to>
      <cdr:x>0.95662</cdr:x>
      <cdr:y>0.98501</cdr:y>
    </cdr:to>
    <cdr:sp macro="" textlink="">
      <cdr:nvSpPr>
        <cdr:cNvPr id="12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094" y="3763202"/>
          <a:ext cx="5099354" cy="17734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Fuente: </a:t>
          </a:r>
          <a:r>
            <a:rPr lang="es-ES" sz="800" b="0" i="0" strike="noStrike" baseline="0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INEC</a:t>
          </a:r>
          <a:r>
            <a:rPr lang="es-ES" sz="800" b="0" i="0" strike="noStrike">
              <a:solidFill>
                <a:srgbClr val="000000"/>
              </a:solidFill>
              <a:latin typeface="Gotham Book" panose="02000603040000020004" pitchFamily="2" charset="0"/>
              <a:cs typeface="Arial" pitchFamily="34" charset="0"/>
            </a:rPr>
            <a:t>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_rels/sheet10.xml.rels><?xml version="1.0" encoding="UTF-8" standalone="no"?>
<Relationships xmlns="http://schemas.openxmlformats.org/package/2006/relationships">
<Relationship Id="rId1" Target="../printerSettings/printerSettings10.bin" Type="http://schemas.openxmlformats.org/officeDocument/2006/relationships/printerSettings"/>
</Relationships>

</file>

<file path=xl/worksheets/_rels/sheet11.xml.rels><?xml version="1.0" encoding="UTF-8" standalone="no"?>
<Relationships xmlns="http://schemas.openxmlformats.org/package/2006/relationships">
<Relationship Id="rId1" Target="../printerSettings/printerSettings11.bin" Type="http://schemas.openxmlformats.org/officeDocument/2006/relationships/printerSettings"/>
</Relationships>

</file>

<file path=xl/worksheets/_rels/sheet12.xml.rels><?xml version="1.0" encoding="UTF-8" standalone="no"?>
<Relationships xmlns="http://schemas.openxmlformats.org/package/2006/relationships">
<Relationship Id="rId1" Target="../printerSettings/printerSettings12.bin" Type="http://schemas.openxmlformats.org/officeDocument/2006/relationships/printerSettings"/>
</Relationships>

</file>

<file path=xl/worksheets/_rels/sheet13.xml.rels><?xml version="1.0" encoding="UTF-8" standalone="no"?>
<Relationships xmlns="http://schemas.openxmlformats.org/package/2006/relationships">
<Relationship Id="rId1" Target="../printerSettings/printerSettings13.bin" Type="http://schemas.openxmlformats.org/officeDocument/2006/relationships/printerSettings"/>
<Relationship Id="rId2" Target="../drawings/drawing7.xml" Type="http://schemas.openxmlformats.org/officeDocument/2006/relationships/drawing"/>
</Relationships>

</file>

<file path=xl/worksheets/_rels/sheet14.xml.rels><?xml version="1.0" encoding="UTF-8" standalone="no"?>
<Relationships xmlns="http://schemas.openxmlformats.org/package/2006/relationships">
<Relationship Id="rId1" Target="../printerSettings/printerSettings14.bin" Type="http://schemas.openxmlformats.org/officeDocument/2006/relationships/printerSettings"/>
</Relationships>

</file>

<file path=xl/worksheets/_rels/sheet15.xml.rels><?xml version="1.0" encoding="UTF-8" standalone="no"?>
<Relationships xmlns="http://schemas.openxmlformats.org/package/2006/relationships">
<Relationship Id="rId1" Target="../printerSettings/printerSettings15.bin" Type="http://schemas.openxmlformats.org/officeDocument/2006/relationships/printerSettings"/>
</Relationships>

</file>

<file path=xl/worksheets/_rels/sheet16.xml.rels><?xml version="1.0" encoding="UTF-8" standalone="no"?>
<Relationships xmlns="http://schemas.openxmlformats.org/package/2006/relationships">
<Relationship Id="rId1" Target="../printerSettings/printerSettings16.bin" Type="http://schemas.openxmlformats.org/officeDocument/2006/relationships/printerSettings"/>
<Relationship Id="rId2" Target="../drawings/drawing8.xml" Type="http://schemas.openxmlformats.org/officeDocument/2006/relationships/drawing"/>
</Relationships>

</file>

<file path=xl/worksheets/_rels/sheet17.xml.rels><?xml version="1.0" encoding="UTF-8" standalone="no"?>
<Relationships xmlns="http://schemas.openxmlformats.org/package/2006/relationships">
<Relationship Id="rId1" Target="../printerSettings/printerSettings17.bin" Type="http://schemas.openxmlformats.org/officeDocument/2006/relationships/printerSettings"/>
</Relationships>

</file>

<file path=xl/worksheets/_rels/sheet18.xml.rels><?xml version="1.0" encoding="UTF-8" standalone="no"?>
<Relationships xmlns="http://schemas.openxmlformats.org/package/2006/relationships">
<Relationship Id="rId1" Target="../printerSettings/printerSettings18.bin" Type="http://schemas.openxmlformats.org/officeDocument/2006/relationships/printerSettings"/>
</Relationships>

</file>

<file path=xl/worksheets/_rels/sheet19.xml.rels><?xml version="1.0" encoding="UTF-8" standalone="no"?>
<Relationships xmlns="http://schemas.openxmlformats.org/package/2006/relationships">
<Relationship Id="rId1" Target="../printerSettings/printerSettings19.bin" Type="http://schemas.openxmlformats.org/officeDocument/2006/relationships/printerSettings"/>
</Relationships>

</file>

<file path=xl/worksheets/_rels/sheet2.xml.rels><?xml version="1.0" encoding="UTF-8" standalone="no"?>
<Relationships xmlns="http://schemas.openxmlformats.org/package/2006/relationships">
<Relationship Id="rId1" Target="../printerSettings/printerSettings2.bin" Type="http://schemas.openxmlformats.org/officeDocument/2006/relationships/printerSettings"/>
</Relationships>

</file>

<file path=xl/worksheets/_rels/sheet20.xml.rels><?xml version="1.0" encoding="UTF-8" standalone="no"?>
<Relationships xmlns="http://schemas.openxmlformats.org/package/2006/relationships">
<Relationship Id="rId1" Target="../printerSettings/printerSettings20.bin" Type="http://schemas.openxmlformats.org/officeDocument/2006/relationships/printerSettings"/>
<Relationship Id="rId2" Target="../drawings/drawing10.xml" Type="http://schemas.openxmlformats.org/officeDocument/2006/relationships/drawing"/>
</Relationships>

</file>

<file path=xl/worksheets/_rels/sheet21.xml.rels><?xml version="1.0" encoding="UTF-8" standalone="no"?>
<Relationships xmlns="http://schemas.openxmlformats.org/package/2006/relationships">
<Relationship Id="rId1" Target="../printerSettings/printerSettings21.bin" Type="http://schemas.openxmlformats.org/officeDocument/2006/relationships/printerSettings"/>
<Relationship Id="rId2" Target="../drawings/drawing11.xml" Type="http://schemas.openxmlformats.org/officeDocument/2006/relationships/drawing"/>
</Relationships>

</file>

<file path=xl/worksheets/_rels/sheet22.xml.rels><?xml version="1.0" encoding="UTF-8" standalone="no"?>
<Relationships xmlns="http://schemas.openxmlformats.org/package/2006/relationships">
<Relationship Id="rId1" Target="../printerSettings/printerSettings22.bin" Type="http://schemas.openxmlformats.org/officeDocument/2006/relationships/printerSettings"/>
</Relationships>

</file>

<file path=xl/worksheets/_rels/sheet23.xml.rels><?xml version="1.0" encoding="UTF-8" standalone="no"?>
<Relationships xmlns="http://schemas.openxmlformats.org/package/2006/relationships">
<Relationship Id="rId1" Target="../printerSettings/printerSettings23.bin" Type="http://schemas.openxmlformats.org/officeDocument/2006/relationships/printerSettings"/>
<Relationship Id="rId2" Target="../drawings/drawing12.xml" Type="http://schemas.openxmlformats.org/officeDocument/2006/relationships/drawing"/>
</Relationships>

</file>

<file path=xl/worksheets/_rels/sheet24.xml.rels><?xml version="1.0" encoding="UTF-8" standalone="no"?>
<Relationships xmlns="http://schemas.openxmlformats.org/package/2006/relationships">
<Relationship Id="rId1" Target="../printerSettings/printerSettings24.bin" Type="http://schemas.openxmlformats.org/officeDocument/2006/relationships/printerSettings"/>
<Relationship Id="rId2" Target="../drawings/drawing13.xml" Type="http://schemas.openxmlformats.org/officeDocument/2006/relationships/drawing"/>
</Relationships>

</file>

<file path=xl/worksheets/_rels/sheet25.xml.rels><?xml version="1.0" encoding="UTF-8" standalone="no"?>
<Relationships xmlns="http://schemas.openxmlformats.org/package/2006/relationships">
<Relationship Id="rId1" Target="../printerSettings/printerSettings25.bin" Type="http://schemas.openxmlformats.org/officeDocument/2006/relationships/printerSettings"/>
<Relationship Id="rId2" Target="../drawings/drawing14.xml" Type="http://schemas.openxmlformats.org/officeDocument/2006/relationships/drawing"/>
</Relationships>

</file>

<file path=xl/worksheets/_rels/sheet26.xml.rels><?xml version="1.0" encoding="UTF-8" standalone="no"?>
<Relationships xmlns="http://schemas.openxmlformats.org/package/2006/relationships">
<Relationship Id="rId1" Target="../printerSettings/printerSettings26.bin" Type="http://schemas.openxmlformats.org/officeDocument/2006/relationships/printerSettings"/>
<Relationship Id="rId2" Target="../drawings/drawing15.xml" Type="http://schemas.openxmlformats.org/officeDocument/2006/relationships/drawing"/>
</Relationships>

</file>

<file path=xl/worksheets/_rels/sheet27.xml.rels><?xml version="1.0" encoding="UTF-8" standalone="no"?>
<Relationships xmlns="http://schemas.openxmlformats.org/package/2006/relationships">
<Relationship Id="rId1" Target="../printerSettings/printerSettings27.bin" Type="http://schemas.openxmlformats.org/officeDocument/2006/relationships/printerSettings"/>
</Relationships>

</file>

<file path=xl/worksheets/_rels/sheet28.xml.rels><?xml version="1.0" encoding="UTF-8" standalone="no"?>
<Relationships xmlns="http://schemas.openxmlformats.org/package/2006/relationships">
<Relationship Id="rId1" Target="../printerSettings/printerSettings28.bin" Type="http://schemas.openxmlformats.org/officeDocument/2006/relationships/printerSettings"/>
</Relationships>

</file>

<file path=xl/worksheets/_rels/sheet29.xml.rels><?xml version="1.0" encoding="UTF-8" standalone="no"?>
<Relationships xmlns="http://schemas.openxmlformats.org/package/2006/relationships">
<Relationship Id="rId1" Target="../printerSettings/printerSettings29.bin" Type="http://schemas.openxmlformats.org/officeDocument/2006/relationships/printerSettings"/>
</Relationships>

</file>

<file path=xl/worksheets/_rels/sheet3.xml.rels><?xml version="1.0" encoding="UTF-8" standalone="no"?>
<Relationships xmlns="http://schemas.openxmlformats.org/package/2006/relationships">
<Relationship Id="rId1" Target="../printerSettings/printerSettings3.bin" Type="http://schemas.openxmlformats.org/officeDocument/2006/relationships/printerSettings"/>
<Relationship Id="rId2" Target="../drawings/drawing2.xml" Type="http://schemas.openxmlformats.org/officeDocument/2006/relationships/drawing"/>
</Relationships>

</file>

<file path=xl/worksheets/_rels/sheet30.xml.rels><?xml version="1.0" encoding="UTF-8" standalone="no"?>
<Relationships xmlns="http://schemas.openxmlformats.org/package/2006/relationships">
<Relationship Id="rId1" Target="../printerSettings/printerSettings30.bin" Type="http://schemas.openxmlformats.org/officeDocument/2006/relationships/printerSettings"/>
</Relationships>

</file>

<file path=xl/worksheets/_rels/sheet31.xml.rels><?xml version="1.0" encoding="UTF-8" standalone="no"?>
<Relationships xmlns="http://schemas.openxmlformats.org/package/2006/relationships">
<Relationship Id="rId1" Target="../printerSettings/printerSettings31.bin" Type="http://schemas.openxmlformats.org/officeDocument/2006/relationships/printerSettings"/>
</Relationships>

</file>

<file path=xl/worksheets/_rels/sheet32.xml.rels><?xml version="1.0" encoding="UTF-8" standalone="no"?>
<Relationships xmlns="http://schemas.openxmlformats.org/package/2006/relationships">
<Relationship Id="rId1" Target="../printerSettings/printerSettings32.bin" Type="http://schemas.openxmlformats.org/officeDocument/2006/relationships/printerSettings"/>
<Relationship Id="rId2" Target="../drawings/drawing16.xml" Type="http://schemas.openxmlformats.org/officeDocument/2006/relationships/drawing"/>
</Relationships>

</file>

<file path=xl/worksheets/_rels/sheet33.xml.rels><?xml version="1.0" encoding="UTF-8" standalone="no"?>
<Relationships xmlns="http://schemas.openxmlformats.org/package/2006/relationships">
<Relationship Id="rId1" Target="../printerSettings/printerSettings33.bin" Type="http://schemas.openxmlformats.org/officeDocument/2006/relationships/printerSettings"/>
<Relationship Id="rId2" Target="../drawings/drawing17.xml" Type="http://schemas.openxmlformats.org/officeDocument/2006/relationships/drawing"/>
</Relationships>

</file>

<file path=xl/worksheets/_rels/sheet34.xml.rels><?xml version="1.0" encoding="UTF-8" standalone="no"?>
<Relationships xmlns="http://schemas.openxmlformats.org/package/2006/relationships">
<Relationship Id="rId1" Target="../printerSettings/printerSettings34.bin" Type="http://schemas.openxmlformats.org/officeDocument/2006/relationships/printerSettings"/>
<Relationship Id="rId2" Target="../drawings/drawing18.xml" Type="http://schemas.openxmlformats.org/officeDocument/2006/relationships/drawing"/>
</Relationships>

</file>

<file path=xl/worksheets/_rels/sheet35.xml.rels><?xml version="1.0" encoding="UTF-8" standalone="no"?>
<Relationships xmlns="http://schemas.openxmlformats.org/package/2006/relationships">
<Relationship Id="rId1" Target="../printerSettings/printerSettings35.bin" Type="http://schemas.openxmlformats.org/officeDocument/2006/relationships/printerSettings"/>
</Relationships>

</file>

<file path=xl/worksheets/_rels/sheet36.xml.rels><?xml version="1.0" encoding="UTF-8" standalone="no"?>
<Relationships xmlns="http://schemas.openxmlformats.org/package/2006/relationships">
<Relationship Id="rId1" Target="../printerSettings/printerSettings36.bin" Type="http://schemas.openxmlformats.org/officeDocument/2006/relationships/printerSettings"/>
<Relationship Id="rId2" Target="../drawings/drawing19.xml" Type="http://schemas.openxmlformats.org/officeDocument/2006/relationships/drawing"/>
</Relationships>

</file>

<file path=xl/worksheets/_rels/sheet37.xml.rels><?xml version="1.0" encoding="UTF-8" standalone="no"?>
<Relationships xmlns="http://schemas.openxmlformats.org/package/2006/relationships">
<Relationship Id="rId1" Target="../printerSettings/printerSettings37.bin" Type="http://schemas.openxmlformats.org/officeDocument/2006/relationships/printerSettings"/>
<Relationship Id="rId2" Target="../drawings/drawing21.xml" Type="http://schemas.openxmlformats.org/officeDocument/2006/relationships/drawing"/>
</Relationships>

</file>

<file path=xl/worksheets/_rels/sheet38.xml.rels><?xml version="1.0" encoding="UTF-8" standalone="no"?>
<Relationships xmlns="http://schemas.openxmlformats.org/package/2006/relationships">
<Relationship Id="rId1" Target="../printerSettings/printerSettings38.bin" Type="http://schemas.openxmlformats.org/officeDocument/2006/relationships/printerSettings"/>
<Relationship Id="rId2" Target="../drawings/drawing22.xml" Type="http://schemas.openxmlformats.org/officeDocument/2006/relationships/drawing"/>
</Relationships>

</file>

<file path=xl/worksheets/_rels/sheet39.xml.rels><?xml version="1.0" encoding="UTF-8" standalone="no"?>
<Relationships xmlns="http://schemas.openxmlformats.org/package/2006/relationships">
<Relationship Id="rId1" Target="../printerSettings/printerSettings39.bin" Type="http://schemas.openxmlformats.org/officeDocument/2006/relationships/printerSettings"/>
<Relationship Id="rId2" Target="../drawings/drawing23.xml" Type="http://schemas.openxmlformats.org/officeDocument/2006/relationships/drawing"/>
</Relationships>

</file>

<file path=xl/worksheets/_rels/sheet4.xml.rels><?xml version="1.0" encoding="UTF-8" standalone="no"?>
<Relationships xmlns="http://schemas.openxmlformats.org/package/2006/relationships">
<Relationship Id="rId1" Target="../printerSettings/printerSettings4.bin" Type="http://schemas.openxmlformats.org/officeDocument/2006/relationships/printerSettings"/>
<Relationship Id="rId2" Target="../drawings/drawing3.xml" Type="http://schemas.openxmlformats.org/officeDocument/2006/relationships/drawing"/>
</Relationships>

</file>

<file path=xl/worksheets/_rels/sheet40.xml.rels><?xml version="1.0" encoding="UTF-8" standalone="no"?>
<Relationships xmlns="http://schemas.openxmlformats.org/package/2006/relationships">
<Relationship Id="rId1" Target="../printerSettings/printerSettings40.bin" Type="http://schemas.openxmlformats.org/officeDocument/2006/relationships/printerSettings"/>
<Relationship Id="rId2" Target="../drawings/drawing24.xml" Type="http://schemas.openxmlformats.org/officeDocument/2006/relationships/drawing"/>
</Relationships>

</file>

<file path=xl/worksheets/_rels/sheet41.xml.rels><?xml version="1.0" encoding="UTF-8" standalone="no"?>
<Relationships xmlns="http://schemas.openxmlformats.org/package/2006/relationships">
<Relationship Id="rId1" Target="../printerSettings/printerSettings41.bin" Type="http://schemas.openxmlformats.org/officeDocument/2006/relationships/printerSettings"/>
</Relationships>

</file>

<file path=xl/worksheets/_rels/sheet42.xml.rels><?xml version="1.0" encoding="UTF-8" standalone="no"?>
<Relationships xmlns="http://schemas.openxmlformats.org/package/2006/relationships">
<Relationship Id="rId1" Target="../printerSettings/printerSettings42.bin" Type="http://schemas.openxmlformats.org/officeDocument/2006/relationships/printerSettings"/>
<Relationship Id="rId2" Target="../drawings/drawing25.xml" Type="http://schemas.openxmlformats.org/officeDocument/2006/relationships/drawing"/>
</Relationships>

</file>

<file path=xl/worksheets/_rels/sheet43.xml.rels><?xml version="1.0" encoding="UTF-8" standalone="no"?>
<Relationships xmlns="http://schemas.openxmlformats.org/package/2006/relationships">
<Relationship Id="rId1" Target="../drawings/drawing26.xml" Type="http://schemas.openxmlformats.org/officeDocument/2006/relationships/drawing"/>
</Relationships>

</file>

<file path=xl/worksheets/_rels/sheet44.xml.rels><?xml version="1.0" encoding="UTF-8" standalone="no"?>
<Relationships xmlns="http://schemas.openxmlformats.org/package/2006/relationships">
<Relationship Id="rId1" Target="../printerSettings/printerSettings43.bin" Type="http://schemas.openxmlformats.org/officeDocument/2006/relationships/printerSettings"/>
</Relationships>

</file>

<file path=xl/worksheets/_rels/sheet45.xml.rels><?xml version="1.0" encoding="UTF-8" standalone="no"?>
<Relationships xmlns="http://schemas.openxmlformats.org/package/2006/relationships">
<Relationship Id="rId1" Target="../printerSettings/printerSettings44.bin" Type="http://schemas.openxmlformats.org/officeDocument/2006/relationships/printerSettings"/>
</Relationships>

</file>

<file path=xl/worksheets/_rels/sheet46.xml.rels><?xml version="1.0" encoding="UTF-8" standalone="no"?>
<Relationships xmlns="http://schemas.openxmlformats.org/package/2006/relationships">
<Relationship Id="rId1" Target="../printerSettings/printerSettings45.bin" Type="http://schemas.openxmlformats.org/officeDocument/2006/relationships/printerSettings"/>
</Relationships>

</file>

<file path=xl/worksheets/_rels/sheet47.xml.rels><?xml version="1.0" encoding="UTF-8" standalone="no"?>
<Relationships xmlns="http://schemas.openxmlformats.org/package/2006/relationships">
<Relationship Id="rId1" Target="../printerSettings/printerSettings46.bin" Type="http://schemas.openxmlformats.org/officeDocument/2006/relationships/printerSettings"/>
</Relationships>

</file>

<file path=xl/worksheets/_rels/sheet5.xml.rels><?xml version="1.0" encoding="UTF-8" standalone="no"?>
<Relationships xmlns="http://schemas.openxmlformats.org/package/2006/relationships">
<Relationship Id="rId1" Target="../printerSettings/printerSettings5.bin" Type="http://schemas.openxmlformats.org/officeDocument/2006/relationships/printerSettings"/>
<Relationship Id="rId2" Target="../drawings/drawing4.xml" Type="http://schemas.openxmlformats.org/officeDocument/2006/relationships/drawing"/>
</Relationships>

</file>

<file path=xl/worksheets/_rels/sheet51.xml.rels><?xml version="1.0" encoding="UTF-8" standalone="no"?>
<Relationships xmlns="http://schemas.openxmlformats.org/package/2006/relationships">
<Relationship Id="rId1" Target="../printerSettings/printerSettings47.bin" Type="http://schemas.openxmlformats.org/officeDocument/2006/relationships/printerSettings"/>
<Relationship Id="rId2" Target="../drawings/drawing27.xml" Type="http://schemas.openxmlformats.org/officeDocument/2006/relationships/drawing"/>
</Relationships>

</file>

<file path=xl/worksheets/_rels/sheet52.xml.rels><?xml version="1.0" encoding="UTF-8" standalone="no"?>
<Relationships xmlns="http://schemas.openxmlformats.org/package/2006/relationships">
<Relationship Id="rId1" Target="../printerSettings/printerSettings48.bin" Type="http://schemas.openxmlformats.org/officeDocument/2006/relationships/printerSettings"/>
</Relationships>

</file>

<file path=xl/worksheets/_rels/sheet53.xml.rels><?xml version="1.0" encoding="UTF-8" standalone="no"?>
<Relationships xmlns="http://schemas.openxmlformats.org/package/2006/relationships">
<Relationship Id="rId1" Target="../printerSettings/printerSettings49.bin" Type="http://schemas.openxmlformats.org/officeDocument/2006/relationships/printerSettings"/>
</Relationships>

</file>

<file path=xl/worksheets/_rels/sheet54.xml.rels><?xml version="1.0" encoding="UTF-8" standalone="no"?>
<Relationships xmlns="http://schemas.openxmlformats.org/package/2006/relationships">
<Relationship Id="rId1" Target="../printerSettings/printerSettings50.bin" Type="http://schemas.openxmlformats.org/officeDocument/2006/relationships/printerSettings"/>
</Relationships>

</file>

<file path=xl/worksheets/_rels/sheet55.xml.rels><?xml version="1.0" encoding="UTF-8" standalone="no"?>
<Relationships xmlns="http://schemas.openxmlformats.org/package/2006/relationships">
<Relationship Id="rId1" Target="../printerSettings/printerSettings51.bin" Type="http://schemas.openxmlformats.org/officeDocument/2006/relationships/printerSettings"/>
</Relationships>

</file>

<file path=xl/worksheets/_rels/sheet56.xml.rels><?xml version="1.0" encoding="UTF-8" standalone="no"?>
<Relationships xmlns="http://schemas.openxmlformats.org/package/2006/relationships">
<Relationship Id="rId1" Target="../printerSettings/printerSettings52.bin" Type="http://schemas.openxmlformats.org/officeDocument/2006/relationships/printerSettings"/>
</Relationships>

</file>

<file path=xl/worksheets/_rels/sheet57.xml.rels><?xml version="1.0" encoding="UTF-8" standalone="no"?>
<Relationships xmlns="http://schemas.openxmlformats.org/package/2006/relationships">
<Relationship Id="rId1" Target="../printerSettings/printerSettings53.bin" Type="http://schemas.openxmlformats.org/officeDocument/2006/relationships/printerSettings"/>
</Relationships>

</file>

<file path=xl/worksheets/_rels/sheet58.xml.rels><?xml version="1.0" encoding="UTF-8" standalone="no"?>
<Relationships xmlns="http://schemas.openxmlformats.org/package/2006/relationships">
<Relationship Id="rId1" Target="../printerSettings/printerSettings54.bin" Type="http://schemas.openxmlformats.org/officeDocument/2006/relationships/printerSettings"/>
</Relationships>

</file>

<file path=xl/worksheets/_rels/sheet59.xml.rels><?xml version="1.0" encoding="UTF-8" standalone="no"?>
<Relationships xmlns="http://schemas.openxmlformats.org/package/2006/relationships">
<Relationship Id="rId1" Target="../printerSettings/printerSettings55.bin" Type="http://schemas.openxmlformats.org/officeDocument/2006/relationships/printerSettings"/>
</Relationships>

</file>

<file path=xl/worksheets/_rels/sheet6.xml.rels><?xml version="1.0" encoding="UTF-8" standalone="no"?>
<Relationships xmlns="http://schemas.openxmlformats.org/package/2006/relationships">
<Relationship Id="rId1" Target="../printerSettings/printerSettings6.bin" Type="http://schemas.openxmlformats.org/officeDocument/2006/relationships/printerSettings"/>
<Relationship Id="rId2" Target="../drawings/drawing5.xml" Type="http://schemas.openxmlformats.org/officeDocument/2006/relationships/drawing"/>
</Relationships>

</file>

<file path=xl/worksheets/_rels/sheet60.xml.rels><?xml version="1.0" encoding="UTF-8" standalone="no"?>
<Relationships xmlns="http://schemas.openxmlformats.org/package/2006/relationships">
<Relationship Id="rId1" Target="../printerSettings/printerSettings56.bin" Type="http://schemas.openxmlformats.org/officeDocument/2006/relationships/printerSettings"/>
</Relationships>

</file>

<file path=xl/worksheets/_rels/sheet61.xml.rels><?xml version="1.0" encoding="UTF-8" standalone="no"?>
<Relationships xmlns="http://schemas.openxmlformats.org/package/2006/relationships">
<Relationship Id="rId1" Target="../printerSettings/printerSettings57.bin" Type="http://schemas.openxmlformats.org/officeDocument/2006/relationships/printerSettings"/>
<Relationship Id="rId2" Target="../drawings/drawing28.xml" Type="http://schemas.openxmlformats.org/officeDocument/2006/relationships/drawing"/>
</Relationships>

</file>

<file path=xl/worksheets/_rels/sheet62.xml.rels><?xml version="1.0" encoding="UTF-8" standalone="no"?>
<Relationships xmlns="http://schemas.openxmlformats.org/package/2006/relationships">
<Relationship Id="rId1" Target="../drawings/drawing29.xml" Type="http://schemas.openxmlformats.org/officeDocument/2006/relationships/drawing"/>
</Relationships>

</file>

<file path=xl/worksheets/_rels/sheet63.xml.rels><?xml version="1.0" encoding="UTF-8" standalone="no"?>
<Relationships xmlns="http://schemas.openxmlformats.org/package/2006/relationships">
<Relationship Id="rId1" Target="../printerSettings/printerSettings58.bin" Type="http://schemas.openxmlformats.org/officeDocument/2006/relationships/printerSettings"/>
<Relationship Id="rId2" Target="../drawings/drawing30.xml" Type="http://schemas.openxmlformats.org/officeDocument/2006/relationships/drawing"/>
</Relationships>

</file>

<file path=xl/worksheets/_rels/sheet64.xml.rels><?xml version="1.0" encoding="UTF-8" standalone="no"?>
<Relationships xmlns="http://schemas.openxmlformats.org/package/2006/relationships">
<Relationship Id="rId1" Target="../printerSettings/printerSettings59.bin" Type="http://schemas.openxmlformats.org/officeDocument/2006/relationships/printerSettings"/>
<Relationship Id="rId2" Target="../drawings/drawing31.xml" Type="http://schemas.openxmlformats.org/officeDocument/2006/relationships/drawing"/>
</Relationships>

</file>

<file path=xl/worksheets/_rels/sheet65.xml.rels><?xml version="1.0" encoding="UTF-8" standalone="no"?>
<Relationships xmlns="http://schemas.openxmlformats.org/package/2006/relationships">
<Relationship Id="rId1" Target="../printerSettings/printerSettings60.bin" Type="http://schemas.openxmlformats.org/officeDocument/2006/relationships/printerSettings"/>
<Relationship Id="rId2" Target="../drawings/drawing32.xml" Type="http://schemas.openxmlformats.org/officeDocument/2006/relationships/drawing"/>
</Relationships>

</file>

<file path=xl/worksheets/_rels/sheet66.xml.rels><?xml version="1.0" encoding="UTF-8" standalone="no"?>
<Relationships xmlns="http://schemas.openxmlformats.org/package/2006/relationships">
<Relationship Id="rId1" Target="../printerSettings/printerSettings61.bin" Type="http://schemas.openxmlformats.org/officeDocument/2006/relationships/printerSettings"/>
<Relationship Id="rId2" Target="../drawings/drawing33.xml" Type="http://schemas.openxmlformats.org/officeDocument/2006/relationships/drawing"/>
</Relationships>

</file>

<file path=xl/worksheets/_rels/sheet67.xml.rels><?xml version="1.0" encoding="UTF-8" standalone="no"?>
<Relationships xmlns="http://schemas.openxmlformats.org/package/2006/relationships">
<Relationship Id="rId1" Target="../printerSettings/printerSettings62.bin" Type="http://schemas.openxmlformats.org/officeDocument/2006/relationships/printerSettings"/>
<Relationship Id="rId2" Target="../drawings/drawing34.xml" Type="http://schemas.openxmlformats.org/officeDocument/2006/relationships/drawing"/>
</Relationships>

</file>

<file path=xl/worksheets/_rels/sheet69.xml.rels><?xml version="1.0" encoding="UTF-8" standalone="no"?>
<Relationships xmlns="http://schemas.openxmlformats.org/package/2006/relationships">
<Relationship Id="rId1" Target="../drawings/drawing35.xml" Type="http://schemas.openxmlformats.org/officeDocument/2006/relationships/drawing"/>
</Relationships>

</file>

<file path=xl/worksheets/_rels/sheet7.xml.rels><?xml version="1.0" encoding="UTF-8" standalone="no"?>
<Relationships xmlns="http://schemas.openxmlformats.org/package/2006/relationships">
<Relationship Id="rId1" Target="../printerSettings/printerSettings7.bin" Type="http://schemas.openxmlformats.org/officeDocument/2006/relationships/printerSettings"/>
</Relationships>

</file>

<file path=xl/worksheets/_rels/sheet8.xml.rels><?xml version="1.0" encoding="UTF-8" standalone="no"?>
<Relationships xmlns="http://schemas.openxmlformats.org/package/2006/relationships">
<Relationship Id="rId1" Target="../printerSettings/printerSettings8.bin" Type="http://schemas.openxmlformats.org/officeDocument/2006/relationships/printerSettings"/>
</Relationships>

</file>

<file path=xl/worksheets/_rels/sheet9.xml.rels><?xml version="1.0" encoding="UTF-8" standalone="no"?>
<Relationships xmlns="http://schemas.openxmlformats.org/package/2006/relationships">
<Relationship Id="rId1" Target="../printerSettings/printerSettings9.bin" Type="http://schemas.openxmlformats.org/officeDocument/2006/relationships/printerSettings"/>
<Relationship Id="rId2" Target="../drawings/drawing6.xml" Type="http://schemas.openxmlformats.org/officeDocument/2006/relationships/drawing"/>
</Relationships>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ABFC2"/>
  </sheetPr>
  <dimension ref="C2:K33"/>
  <sheetViews>
    <sheetView showGridLines="0" tabSelected="1" workbookViewId="0">
      <selection activeCell="F29" sqref="F29:K29"/>
    </sheetView>
  </sheetViews>
  <sheetFormatPr baseColWidth="10" defaultRowHeight="12.75"/>
  <cols>
    <col min="1" max="1" width="32.5703125" customWidth="1"/>
    <col min="2" max="2" width="38.7109375" customWidth="1"/>
    <col min="3" max="3" width="11.42578125" hidden="1" customWidth="1"/>
    <col min="4" max="4" width="11.42578125" customWidth="1"/>
    <col min="10" max="10" width="11.42578125" customWidth="1"/>
    <col min="11" max="11" width="37.7109375" customWidth="1"/>
  </cols>
  <sheetData>
    <row r="2" hidden="1"/>
    <row r="3" hidden="1"/>
    <row r="4" hidden="1"/>
    <row r="5" hidden="1"/>
    <row r="6" hidden="1"/>
    <row r="19" spans="4:11" ht="28.5" customHeight="1">
      <c r="D19" s="439" t="s">
        <v>563</v>
      </c>
      <c r="E19" s="439"/>
      <c r="F19" s="439"/>
      <c r="G19" s="439"/>
      <c r="H19" s="439"/>
      <c r="I19" s="439"/>
      <c r="J19" s="439"/>
      <c r="K19" s="439"/>
    </row>
    <row r="20" spans="4:11">
      <c r="D20" s="237"/>
      <c r="E20" s="237"/>
      <c r="F20" s="237"/>
      <c r="G20" s="237"/>
      <c r="H20" s="237"/>
      <c r="I20" s="237"/>
      <c r="J20" s="237"/>
      <c r="K20" s="237"/>
    </row>
    <row r="21" spans="4:11" ht="21.75">
      <c r="D21" s="440" t="s">
        <v>564</v>
      </c>
      <c r="E21" s="440"/>
      <c r="F21" s="440"/>
      <c r="G21" s="440"/>
      <c r="H21" s="440"/>
      <c r="I21" s="440"/>
      <c r="J21" s="440"/>
      <c r="K21" s="440"/>
    </row>
    <row r="22" spans="4:11" ht="18" customHeight="1" thickBot="1">
      <c r="D22" s="240"/>
      <c r="E22" s="240"/>
      <c r="F22" s="240"/>
      <c r="G22" s="240"/>
      <c r="H22" s="240"/>
      <c r="I22" s="240"/>
      <c r="J22" s="240"/>
      <c r="K22" s="240"/>
    </row>
    <row r="23" spans="4:11" ht="90" customHeight="1" thickBot="1">
      <c r="D23" s="441" t="s">
        <v>1102</v>
      </c>
      <c r="E23" s="442"/>
      <c r="F23" s="442"/>
      <c r="G23" s="442"/>
      <c r="H23" s="442"/>
      <c r="I23" s="442"/>
      <c r="J23" s="442"/>
      <c r="K23" s="443"/>
    </row>
    <row r="24" spans="4:11">
      <c r="D24" s="237"/>
      <c r="E24" s="237"/>
      <c r="F24" s="237"/>
      <c r="G24" s="237"/>
      <c r="H24" s="237"/>
      <c r="I24" s="237"/>
      <c r="J24" s="237"/>
      <c r="K24" s="237"/>
    </row>
    <row r="25" spans="4:11">
      <c r="D25" s="237"/>
      <c r="E25" s="237"/>
      <c r="F25" s="237"/>
      <c r="G25" s="237"/>
      <c r="H25" s="237"/>
      <c r="I25" s="237"/>
      <c r="J25" s="237"/>
      <c r="K25" s="237"/>
    </row>
    <row r="26" spans="4:11">
      <c r="D26" s="237"/>
      <c r="E26" s="237"/>
      <c r="F26" s="237"/>
      <c r="G26" s="237"/>
      <c r="H26" s="237"/>
      <c r="I26" s="237"/>
      <c r="J26" s="237"/>
      <c r="K26" s="237"/>
    </row>
    <row r="27" spans="4:11" ht="18">
      <c r="D27" s="438" t="s">
        <v>478</v>
      </c>
      <c r="E27" s="438"/>
      <c r="F27" s="438"/>
      <c r="G27" s="438"/>
      <c r="H27" s="438"/>
      <c r="I27" s="438"/>
      <c r="J27" s="438"/>
      <c r="K27" s="438"/>
    </row>
    <row r="28" spans="4:11">
      <c r="D28" s="237"/>
      <c r="E28" s="237"/>
      <c r="F28" s="237"/>
      <c r="G28" s="237"/>
      <c r="H28" s="237"/>
      <c r="I28" s="237"/>
      <c r="J28" s="237"/>
      <c r="K28" s="237"/>
    </row>
    <row r="29" spans="4:11" ht="15">
      <c r="D29" s="241" t="s">
        <v>470</v>
      </c>
      <c r="E29" s="242"/>
      <c r="F29" s="437" t="s">
        <v>474</v>
      </c>
      <c r="G29" s="437"/>
      <c r="H29" s="437"/>
      <c r="I29" s="437"/>
      <c r="J29" s="437"/>
      <c r="K29" s="437"/>
    </row>
    <row r="30" spans="4:11" ht="15">
      <c r="D30" s="241" t="s">
        <v>471</v>
      </c>
      <c r="E30" s="242"/>
      <c r="F30" s="437" t="s">
        <v>713</v>
      </c>
      <c r="G30" s="437"/>
      <c r="H30" s="437"/>
      <c r="I30" s="437"/>
      <c r="J30" s="437"/>
      <c r="K30" s="437"/>
    </row>
    <row r="31" spans="4:11" ht="15">
      <c r="D31" s="241" t="s">
        <v>472</v>
      </c>
      <c r="E31" s="242"/>
      <c r="F31" s="437" t="s">
        <v>475</v>
      </c>
      <c r="G31" s="437"/>
      <c r="H31" s="437"/>
      <c r="I31" s="437"/>
      <c r="J31" s="437"/>
      <c r="K31" s="437"/>
    </row>
    <row r="32" spans="4:11" ht="15">
      <c r="D32" s="241" t="s">
        <v>473</v>
      </c>
      <c r="E32" s="242"/>
      <c r="F32" s="437" t="s">
        <v>476</v>
      </c>
      <c r="G32" s="437"/>
      <c r="H32" s="437"/>
      <c r="I32" s="437"/>
      <c r="J32" s="437"/>
      <c r="K32" s="437"/>
    </row>
    <row r="33" spans="4:11" ht="15">
      <c r="D33" s="241" t="s">
        <v>565</v>
      </c>
      <c r="E33" s="242"/>
      <c r="F33" s="437" t="s">
        <v>566</v>
      </c>
      <c r="G33" s="437"/>
      <c r="H33" s="437"/>
      <c r="I33" s="437"/>
      <c r="J33" s="437"/>
      <c r="K33" s="437"/>
    </row>
  </sheetData>
  <mergeCells count="9">
    <mergeCell ref="F33:K33"/>
    <mergeCell ref="F32:K32"/>
    <mergeCell ref="D27:K27"/>
    <mergeCell ref="D19:K19"/>
    <mergeCell ref="D21:K21"/>
    <mergeCell ref="D23:K23"/>
    <mergeCell ref="F29:K29"/>
    <mergeCell ref="F30:K30"/>
    <mergeCell ref="F31:K31"/>
  </mergeCells>
  <hyperlinks>
    <hyperlink ref="F29:K29" location="'Capitulo 1'!A15" display="Área de vivienda en la economía nacional" xr:uid="{00000000-0004-0000-0000-000000000000}"/>
    <hyperlink ref="F30:K30" location="'Capitulo 2'!A15" display="Construcción residencial en Costa Rica" xr:uid="{00000000-0004-0000-0000-000001000000}"/>
    <hyperlink ref="F31:K31" location="'Capitulo 3'!A15" display="Situación de la vivienda en Costa Rica " xr:uid="{00000000-0004-0000-0000-000002000000}"/>
    <hyperlink ref="F32:K32" location="'Capitulo 4'!A15" display="Aporte del SFNV al área habitacional  " xr:uid="{00000000-0004-0000-0000-000003000000}"/>
    <hyperlink ref="F33:K33" location="'Capitulo 5'!A15" display="Metas de Desarrollo Sostenible  " xr:uid="{00000000-0004-0000-0000-000004000000}"/>
  </hyperlink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5"/>
  <sheetViews>
    <sheetView showGridLines="0" zoomScaleNormal="100" workbookViewId="0">
      <pane ySplit="4" topLeftCell="A23" activePane="bottomLeft" state="frozen"/>
      <selection pane="bottomLeft" activeCell="K12" sqref="K12"/>
    </sheetView>
  </sheetViews>
  <sheetFormatPr baseColWidth="10" defaultColWidth="11.42578125" defaultRowHeight="14.25"/>
  <cols>
    <col min="1" max="1" width="11.42578125" customWidth="1"/>
    <col min="2" max="2" width="29.140625" style="15" bestFit="1" customWidth="1"/>
    <col min="3" max="3" width="19.140625" style="15" customWidth="1"/>
    <col min="4" max="4" width="14.28515625" style="15" customWidth="1"/>
    <col min="5" max="5" width="25" style="15" customWidth="1"/>
    <col min="6" max="6" width="18.5703125" style="15" customWidth="1"/>
    <col min="7" max="10" width="11.42578125" style="15" customWidth="1"/>
  </cols>
  <sheetData>
    <row r="1" spans="1:6" ht="15.75">
      <c r="B1" s="28"/>
      <c r="C1" s="28"/>
      <c r="D1" s="28"/>
      <c r="E1" s="10"/>
    </row>
    <row r="2" spans="1:6" ht="15.75" customHeight="1">
      <c r="B2" s="486" t="s">
        <v>290</v>
      </c>
      <c r="C2" s="486"/>
      <c r="D2" s="486"/>
      <c r="E2" s="486"/>
      <c r="F2" s="486"/>
    </row>
    <row r="3" spans="1:6" ht="51.75" customHeight="1" thickBot="1">
      <c r="B3" s="482" t="s">
        <v>700</v>
      </c>
      <c r="C3" s="482"/>
      <c r="D3" s="482"/>
      <c r="E3" s="482"/>
      <c r="F3" s="482"/>
    </row>
    <row r="4" spans="1:6" ht="69" customHeight="1" thickTop="1" thickBot="1">
      <c r="B4" s="310" t="s">
        <v>15</v>
      </c>
      <c r="C4" s="310" t="s">
        <v>98</v>
      </c>
      <c r="D4" s="310" t="s">
        <v>99</v>
      </c>
      <c r="E4" s="310" t="s">
        <v>95</v>
      </c>
      <c r="F4" s="310" t="s">
        <v>100</v>
      </c>
    </row>
    <row r="5" spans="1:6" ht="17.100000000000001" customHeight="1" thickTop="1" thickBot="1">
      <c r="B5" s="272" t="s">
        <v>103</v>
      </c>
      <c r="C5" s="414">
        <f>SUM(C6:C86)</f>
        <v>10061</v>
      </c>
      <c r="D5" s="414">
        <f>SUM(D6:D86)</f>
        <v>931916</v>
      </c>
      <c r="E5" s="414">
        <f>SUM(E6:E86)</f>
        <v>241431240</v>
      </c>
      <c r="F5" s="414">
        <f t="shared" ref="F5:F36" si="0">+E5/C5</f>
        <v>23996.743862439122</v>
      </c>
    </row>
    <row r="6" spans="1:6" ht="17.100000000000001" customHeight="1" thickTop="1" thickBot="1">
      <c r="A6" s="29"/>
      <c r="B6" s="272" t="s">
        <v>348</v>
      </c>
      <c r="C6" s="414">
        <v>57</v>
      </c>
      <c r="D6" s="414">
        <v>6630</v>
      </c>
      <c r="E6" s="414">
        <v>1769122</v>
      </c>
      <c r="F6" s="414">
        <f t="shared" si="0"/>
        <v>31037.228070175439</v>
      </c>
    </row>
    <row r="7" spans="1:6" ht="17.100000000000001" customHeight="1" thickTop="1" thickBot="1">
      <c r="B7" s="272" t="s">
        <v>349</v>
      </c>
      <c r="C7" s="414">
        <v>69</v>
      </c>
      <c r="D7" s="414">
        <v>27794</v>
      </c>
      <c r="E7" s="414">
        <v>7861376</v>
      </c>
      <c r="F7" s="414">
        <f t="shared" si="0"/>
        <v>113932.98550724638</v>
      </c>
    </row>
    <row r="8" spans="1:6" ht="17.100000000000001" customHeight="1" thickTop="1" thickBot="1">
      <c r="B8" s="272" t="s">
        <v>350</v>
      </c>
      <c r="C8" s="414">
        <v>83</v>
      </c>
      <c r="D8" s="414">
        <v>8827</v>
      </c>
      <c r="E8" s="414">
        <v>1979477</v>
      </c>
      <c r="F8" s="414">
        <f t="shared" si="0"/>
        <v>23849.120481927712</v>
      </c>
    </row>
    <row r="9" spans="1:6" ht="17.100000000000001" customHeight="1" thickTop="1" thickBot="1">
      <c r="B9" s="272" t="s">
        <v>208</v>
      </c>
      <c r="C9" s="414">
        <v>71</v>
      </c>
      <c r="D9" s="414">
        <v>4485</v>
      </c>
      <c r="E9" s="414">
        <v>877625</v>
      </c>
      <c r="F9" s="414">
        <f t="shared" si="0"/>
        <v>12360.915492957747</v>
      </c>
    </row>
    <row r="10" spans="1:6" ht="17.100000000000001" customHeight="1" thickTop="1" thickBot="1">
      <c r="B10" s="272" t="s">
        <v>209</v>
      </c>
      <c r="C10" s="414">
        <v>54</v>
      </c>
      <c r="D10" s="414">
        <v>3492</v>
      </c>
      <c r="E10" s="414">
        <v>722598</v>
      </c>
      <c r="F10" s="414">
        <f t="shared" si="0"/>
        <v>13381.444444444445</v>
      </c>
    </row>
    <row r="11" spans="1:6" ht="17.100000000000001" customHeight="1" thickTop="1" thickBot="1">
      <c r="B11" s="272" t="s">
        <v>351</v>
      </c>
      <c r="C11" s="414">
        <v>62</v>
      </c>
      <c r="D11" s="414">
        <v>3446</v>
      </c>
      <c r="E11" s="414">
        <v>710288</v>
      </c>
      <c r="F11" s="414">
        <f t="shared" si="0"/>
        <v>11456.258064516129</v>
      </c>
    </row>
    <row r="12" spans="1:6" ht="17.100000000000001" customHeight="1" thickTop="1" thickBot="1">
      <c r="B12" s="272" t="s">
        <v>352</v>
      </c>
      <c r="C12" s="414">
        <v>103</v>
      </c>
      <c r="D12" s="414">
        <v>11963</v>
      </c>
      <c r="E12" s="414">
        <v>2921246</v>
      </c>
      <c r="F12" s="414">
        <f t="shared" si="0"/>
        <v>28361.611650485436</v>
      </c>
    </row>
    <row r="13" spans="1:6" ht="17.100000000000001" customHeight="1" thickTop="1" thickBot="1">
      <c r="B13" s="272" t="s">
        <v>353</v>
      </c>
      <c r="C13" s="414">
        <v>39</v>
      </c>
      <c r="D13" s="414">
        <v>4768</v>
      </c>
      <c r="E13" s="414">
        <v>1098913</v>
      </c>
      <c r="F13" s="414">
        <f t="shared" si="0"/>
        <v>28177.25641025641</v>
      </c>
    </row>
    <row r="14" spans="1:6" ht="17.100000000000001" customHeight="1" thickTop="1" thickBot="1">
      <c r="B14" s="272" t="s">
        <v>354</v>
      </c>
      <c r="C14" s="414">
        <v>102</v>
      </c>
      <c r="D14" s="414">
        <v>23494</v>
      </c>
      <c r="E14" s="414">
        <v>6791463</v>
      </c>
      <c r="F14" s="414">
        <f t="shared" si="0"/>
        <v>66582.970588235301</v>
      </c>
    </row>
    <row r="15" spans="1:6" ht="17.100000000000001" customHeight="1" thickTop="1" thickBot="1">
      <c r="B15" s="272" t="s">
        <v>355</v>
      </c>
      <c r="C15" s="414">
        <v>163</v>
      </c>
      <c r="D15" s="414">
        <v>14024</v>
      </c>
      <c r="E15" s="414">
        <v>3561640</v>
      </c>
      <c r="F15" s="414">
        <f t="shared" si="0"/>
        <v>21850.552147239265</v>
      </c>
    </row>
    <row r="16" spans="1:6" ht="17.100000000000001" customHeight="1" thickTop="1" thickBot="1">
      <c r="B16" s="272" t="s">
        <v>430</v>
      </c>
      <c r="C16" s="414">
        <v>23</v>
      </c>
      <c r="D16" s="414">
        <v>2663</v>
      </c>
      <c r="E16" s="414">
        <v>727248</v>
      </c>
      <c r="F16" s="414">
        <f t="shared" si="0"/>
        <v>31619.478260869564</v>
      </c>
    </row>
    <row r="17" spans="1:6" ht="17.100000000000001" customHeight="1" thickTop="1" thickBot="1">
      <c r="B17" s="272" t="s">
        <v>356</v>
      </c>
      <c r="C17" s="414">
        <v>59</v>
      </c>
      <c r="D17" s="414">
        <v>3045</v>
      </c>
      <c r="E17" s="414">
        <v>569694</v>
      </c>
      <c r="F17" s="414">
        <f t="shared" si="0"/>
        <v>9655.8305084745771</v>
      </c>
    </row>
    <row r="18" spans="1:6" ht="17.100000000000001" customHeight="1" thickTop="1" thickBot="1">
      <c r="B18" s="272" t="s">
        <v>357</v>
      </c>
      <c r="C18" s="414">
        <v>27</v>
      </c>
      <c r="D18" s="414">
        <v>5457</v>
      </c>
      <c r="E18" s="414">
        <v>1413312</v>
      </c>
      <c r="F18" s="414">
        <f t="shared" si="0"/>
        <v>52344.888888888891</v>
      </c>
    </row>
    <row r="19" spans="1:6" ht="17.100000000000001" customHeight="1" thickTop="1" thickBot="1">
      <c r="B19" s="272" t="s">
        <v>358</v>
      </c>
      <c r="C19" s="414">
        <v>30</v>
      </c>
      <c r="D19" s="414">
        <v>8622</v>
      </c>
      <c r="E19" s="414">
        <v>10971534</v>
      </c>
      <c r="F19" s="414">
        <f t="shared" si="0"/>
        <v>365717.8</v>
      </c>
    </row>
    <row r="20" spans="1:6" ht="17.100000000000001" customHeight="1" thickTop="1" thickBot="1">
      <c r="B20" s="272" t="s">
        <v>359</v>
      </c>
      <c r="C20" s="414">
        <v>42</v>
      </c>
      <c r="D20" s="414">
        <v>8738</v>
      </c>
      <c r="E20" s="414">
        <v>2446500</v>
      </c>
      <c r="F20" s="414">
        <f t="shared" si="0"/>
        <v>58250</v>
      </c>
    </row>
    <row r="21" spans="1:6" ht="17.100000000000001" customHeight="1" thickTop="1" thickBot="1">
      <c r="B21" s="272" t="s">
        <v>219</v>
      </c>
      <c r="C21" s="414">
        <v>18</v>
      </c>
      <c r="D21" s="414">
        <v>1026</v>
      </c>
      <c r="E21" s="414">
        <v>210320</v>
      </c>
      <c r="F21" s="414">
        <f t="shared" si="0"/>
        <v>11684.444444444445</v>
      </c>
    </row>
    <row r="22" spans="1:6" ht="17.100000000000001" customHeight="1" thickTop="1" thickBot="1">
      <c r="B22" s="272" t="s">
        <v>220</v>
      </c>
      <c r="C22" s="414">
        <v>33</v>
      </c>
      <c r="D22" s="414">
        <v>2108</v>
      </c>
      <c r="E22" s="414">
        <v>432155</v>
      </c>
      <c r="F22" s="414">
        <f t="shared" si="0"/>
        <v>13095.60606060606</v>
      </c>
    </row>
    <row r="23" spans="1:6" ht="17.100000000000001" customHeight="1" thickTop="1" thickBot="1">
      <c r="B23" s="272" t="s">
        <v>360</v>
      </c>
      <c r="C23" s="414">
        <v>79</v>
      </c>
      <c r="D23" s="414">
        <v>12958</v>
      </c>
      <c r="E23" s="414">
        <v>3553533</v>
      </c>
      <c r="F23" s="414">
        <f t="shared" si="0"/>
        <v>44981.430379746838</v>
      </c>
    </row>
    <row r="24" spans="1:6" ht="17.100000000000001" customHeight="1" thickTop="1" thickBot="1">
      <c r="B24" s="272" t="s">
        <v>222</v>
      </c>
      <c r="C24" s="414">
        <v>642</v>
      </c>
      <c r="D24" s="414">
        <v>39521</v>
      </c>
      <c r="E24" s="414">
        <v>7728812</v>
      </c>
      <c r="F24" s="414">
        <f t="shared" si="0"/>
        <v>12038.647975077882</v>
      </c>
    </row>
    <row r="25" spans="1:6" ht="17.100000000000001" customHeight="1" thickTop="1" thickBot="1">
      <c r="B25" s="272" t="s">
        <v>223</v>
      </c>
      <c r="C25" s="414">
        <v>35</v>
      </c>
      <c r="D25" s="414">
        <v>2533</v>
      </c>
      <c r="E25" s="414">
        <v>499931</v>
      </c>
      <c r="F25" s="414">
        <f t="shared" si="0"/>
        <v>14283.742857142857</v>
      </c>
    </row>
    <row r="26" spans="1:6" ht="17.100000000000001" customHeight="1" thickTop="1" thickBot="1">
      <c r="A26" s="29"/>
      <c r="B26" s="272" t="s">
        <v>361</v>
      </c>
      <c r="C26" s="414">
        <v>338</v>
      </c>
      <c r="D26" s="414">
        <v>48358</v>
      </c>
      <c r="E26" s="414">
        <v>13994830</v>
      </c>
      <c r="F26" s="414">
        <f t="shared" si="0"/>
        <v>41404.8224852071</v>
      </c>
    </row>
    <row r="27" spans="1:6" ht="17.100000000000001" customHeight="1" thickTop="1" thickBot="1">
      <c r="B27" s="272" t="s">
        <v>225</v>
      </c>
      <c r="C27" s="414">
        <v>361</v>
      </c>
      <c r="D27" s="414">
        <v>27538</v>
      </c>
      <c r="E27" s="414">
        <v>6907156</v>
      </c>
      <c r="F27" s="414">
        <f t="shared" si="0"/>
        <v>19133.396121883656</v>
      </c>
    </row>
    <row r="28" spans="1:6" ht="17.100000000000001" customHeight="1" thickTop="1" thickBot="1">
      <c r="B28" s="272" t="s">
        <v>226</v>
      </c>
      <c r="C28" s="414">
        <v>231</v>
      </c>
      <c r="D28" s="414">
        <v>25170</v>
      </c>
      <c r="E28" s="414">
        <v>6279141</v>
      </c>
      <c r="F28" s="414">
        <f t="shared" si="0"/>
        <v>27182.428571428572</v>
      </c>
    </row>
    <row r="29" spans="1:6" ht="17.100000000000001" customHeight="1" thickTop="1" thickBot="1">
      <c r="B29" s="272" t="s">
        <v>227</v>
      </c>
      <c r="C29" s="414">
        <v>67</v>
      </c>
      <c r="D29" s="414">
        <v>4852</v>
      </c>
      <c r="E29" s="414">
        <v>941770</v>
      </c>
      <c r="F29" s="414">
        <f t="shared" si="0"/>
        <v>14056.268656716418</v>
      </c>
    </row>
    <row r="30" spans="1:6" ht="17.100000000000001" customHeight="1" thickTop="1" thickBot="1">
      <c r="B30" s="272" t="s">
        <v>362</v>
      </c>
      <c r="C30" s="414">
        <v>62</v>
      </c>
      <c r="D30" s="414">
        <v>6902</v>
      </c>
      <c r="E30" s="414">
        <v>1716286</v>
      </c>
      <c r="F30" s="414">
        <f t="shared" si="0"/>
        <v>27682.032258064515</v>
      </c>
    </row>
    <row r="31" spans="1:6" ht="17.100000000000001" customHeight="1" thickTop="1" thickBot="1">
      <c r="B31" s="272" t="s">
        <v>229</v>
      </c>
      <c r="C31" s="414">
        <v>93</v>
      </c>
      <c r="D31" s="414">
        <v>7800</v>
      </c>
      <c r="E31" s="414">
        <v>1914083</v>
      </c>
      <c r="F31" s="414">
        <f t="shared" si="0"/>
        <v>20581.537634408603</v>
      </c>
    </row>
    <row r="32" spans="1:6" ht="17.100000000000001" customHeight="1" thickTop="1" thickBot="1">
      <c r="B32" s="272" t="s">
        <v>230</v>
      </c>
      <c r="C32" s="414">
        <v>83</v>
      </c>
      <c r="D32" s="414">
        <v>8027</v>
      </c>
      <c r="E32" s="414">
        <v>1875479</v>
      </c>
      <c r="F32" s="414">
        <f t="shared" si="0"/>
        <v>22596.132530120482</v>
      </c>
    </row>
    <row r="33" spans="1:6" ht="17.100000000000001" customHeight="1" thickTop="1" thickBot="1">
      <c r="B33" s="272" t="s">
        <v>363</v>
      </c>
      <c r="C33" s="414">
        <v>73</v>
      </c>
      <c r="D33" s="414">
        <v>6296</v>
      </c>
      <c r="E33" s="414">
        <v>1557254</v>
      </c>
      <c r="F33" s="414">
        <f t="shared" si="0"/>
        <v>21332.246575342466</v>
      </c>
    </row>
    <row r="34" spans="1:6" ht="17.100000000000001" customHeight="1" thickTop="1" thickBot="1">
      <c r="B34" s="272" t="s">
        <v>232</v>
      </c>
      <c r="C34" s="414">
        <v>62</v>
      </c>
      <c r="D34" s="414">
        <v>4477</v>
      </c>
      <c r="E34" s="414">
        <v>998968</v>
      </c>
      <c r="F34" s="414">
        <f t="shared" si="0"/>
        <v>16112.387096774193</v>
      </c>
    </row>
    <row r="35" spans="1:6" ht="17.100000000000001" customHeight="1" thickTop="1" thickBot="1">
      <c r="B35" s="272" t="s">
        <v>233</v>
      </c>
      <c r="C35" s="414">
        <v>727</v>
      </c>
      <c r="D35" s="414">
        <v>46374</v>
      </c>
      <c r="E35" s="414">
        <v>9691232</v>
      </c>
      <c r="F35" s="414">
        <f t="shared" si="0"/>
        <v>13330.442916093534</v>
      </c>
    </row>
    <row r="36" spans="1:6" ht="17.100000000000001" customHeight="1" thickTop="1" thickBot="1">
      <c r="B36" s="272" t="s">
        <v>234</v>
      </c>
      <c r="C36" s="414">
        <v>35</v>
      </c>
      <c r="D36" s="414">
        <v>2507</v>
      </c>
      <c r="E36" s="414">
        <v>576854</v>
      </c>
      <c r="F36" s="414">
        <f t="shared" si="0"/>
        <v>16481.542857142857</v>
      </c>
    </row>
    <row r="37" spans="1:6" ht="17.100000000000001" customHeight="1" thickTop="1" thickBot="1">
      <c r="B37" s="272" t="s">
        <v>235</v>
      </c>
      <c r="C37" s="414">
        <v>51</v>
      </c>
      <c r="D37" s="414">
        <v>3334</v>
      </c>
      <c r="E37" s="414">
        <v>789706</v>
      </c>
      <c r="F37" s="414">
        <f t="shared" ref="F37:F68" si="1">+E37/C37</f>
        <v>15484.431372549019</v>
      </c>
    </row>
    <row r="38" spans="1:6" ht="17.100000000000001" customHeight="1" thickTop="1" thickBot="1">
      <c r="B38" s="272" t="s">
        <v>236</v>
      </c>
      <c r="C38" s="414">
        <v>205</v>
      </c>
      <c r="D38" s="414">
        <v>9354</v>
      </c>
      <c r="E38" s="414">
        <v>1527016</v>
      </c>
      <c r="F38" s="414">
        <f t="shared" si="1"/>
        <v>7448.858536585366</v>
      </c>
    </row>
    <row r="39" spans="1:6" ht="17.100000000000001" customHeight="1" thickTop="1" thickBot="1">
      <c r="B39" s="272" t="s">
        <v>237</v>
      </c>
      <c r="C39" s="414">
        <v>81</v>
      </c>
      <c r="D39" s="414">
        <v>3904</v>
      </c>
      <c r="E39" s="414">
        <v>697688</v>
      </c>
      <c r="F39" s="414">
        <f t="shared" si="1"/>
        <v>8613.4320987654319</v>
      </c>
    </row>
    <row r="40" spans="1:6" ht="17.100000000000001" customHeight="1" thickTop="1" thickBot="1">
      <c r="B40" s="272" t="s">
        <v>238</v>
      </c>
      <c r="C40" s="414">
        <v>32</v>
      </c>
      <c r="D40" s="414">
        <v>1818</v>
      </c>
      <c r="E40" s="414">
        <v>332625</v>
      </c>
      <c r="F40" s="414">
        <f t="shared" si="1"/>
        <v>10394.53125</v>
      </c>
    </row>
    <row r="41" spans="1:6" ht="17.100000000000001" customHeight="1" thickTop="1" thickBot="1">
      <c r="A41" s="29"/>
      <c r="B41" s="272" t="s">
        <v>364</v>
      </c>
      <c r="C41" s="414">
        <v>269</v>
      </c>
      <c r="D41" s="414">
        <v>27995</v>
      </c>
      <c r="E41" s="414">
        <v>6655421</v>
      </c>
      <c r="F41" s="414">
        <f t="shared" si="1"/>
        <v>24741.342007434945</v>
      </c>
    </row>
    <row r="42" spans="1:6" ht="17.100000000000001" customHeight="1" thickTop="1" thickBot="1">
      <c r="B42" s="272" t="s">
        <v>365</v>
      </c>
      <c r="C42" s="414">
        <v>118</v>
      </c>
      <c r="D42" s="414">
        <v>10588</v>
      </c>
      <c r="E42" s="414">
        <v>2498269</v>
      </c>
      <c r="F42" s="414">
        <f t="shared" si="1"/>
        <v>21171.771186440677</v>
      </c>
    </row>
    <row r="43" spans="1:6" ht="17.100000000000001" customHeight="1" thickTop="1" thickBot="1">
      <c r="B43" s="272" t="s">
        <v>366</v>
      </c>
      <c r="C43" s="414">
        <v>172</v>
      </c>
      <c r="D43" s="414">
        <v>33214</v>
      </c>
      <c r="E43" s="414">
        <v>9873397</v>
      </c>
      <c r="F43" s="414">
        <f t="shared" si="1"/>
        <v>57403.470930232557</v>
      </c>
    </row>
    <row r="44" spans="1:6" ht="17.100000000000001" customHeight="1" thickTop="1" thickBot="1">
      <c r="B44" s="272" t="s">
        <v>367</v>
      </c>
      <c r="C44" s="414">
        <v>195</v>
      </c>
      <c r="D44" s="414">
        <v>8600</v>
      </c>
      <c r="E44" s="414">
        <v>1622846</v>
      </c>
      <c r="F44" s="414">
        <f t="shared" si="1"/>
        <v>8322.2871794871789</v>
      </c>
    </row>
    <row r="45" spans="1:6" ht="17.100000000000001" customHeight="1" thickTop="1" thickBot="1">
      <c r="B45" s="272" t="s">
        <v>368</v>
      </c>
      <c r="C45" s="414">
        <v>127</v>
      </c>
      <c r="D45" s="414">
        <v>8134</v>
      </c>
      <c r="E45" s="414">
        <v>1568070</v>
      </c>
      <c r="F45" s="414">
        <f t="shared" si="1"/>
        <v>12347.007874015748</v>
      </c>
    </row>
    <row r="46" spans="1:6" ht="17.100000000000001" customHeight="1" thickTop="1" thickBot="1">
      <c r="B46" s="272" t="s">
        <v>369</v>
      </c>
      <c r="C46" s="414">
        <v>52</v>
      </c>
      <c r="D46" s="414">
        <v>3042</v>
      </c>
      <c r="E46" s="414">
        <v>568668</v>
      </c>
      <c r="F46" s="414">
        <f t="shared" si="1"/>
        <v>10935.923076923076</v>
      </c>
    </row>
    <row r="47" spans="1:6" ht="17.100000000000001" customHeight="1" thickTop="1" thickBot="1">
      <c r="B47" s="272" t="s">
        <v>370</v>
      </c>
      <c r="C47" s="414">
        <v>55</v>
      </c>
      <c r="D47" s="414">
        <v>4770</v>
      </c>
      <c r="E47" s="414">
        <v>1207882</v>
      </c>
      <c r="F47" s="414">
        <f t="shared" si="1"/>
        <v>21961.49090909091</v>
      </c>
    </row>
    <row r="48" spans="1:6" ht="17.100000000000001" customHeight="1" thickTop="1" thickBot="1">
      <c r="B48" s="272" t="s">
        <v>371</v>
      </c>
      <c r="C48" s="414">
        <v>99</v>
      </c>
      <c r="D48" s="414">
        <v>10364</v>
      </c>
      <c r="E48" s="414">
        <v>2338992</v>
      </c>
      <c r="F48" s="414">
        <f t="shared" si="1"/>
        <v>23626.18181818182</v>
      </c>
    </row>
    <row r="49" spans="1:6" ht="17.100000000000001" customHeight="1" thickTop="1" thickBot="1">
      <c r="A49" s="29"/>
      <c r="B49" s="272" t="s">
        <v>372</v>
      </c>
      <c r="C49" s="414">
        <v>184</v>
      </c>
      <c r="D49" s="414">
        <v>24585</v>
      </c>
      <c r="E49" s="414">
        <v>7217241</v>
      </c>
      <c r="F49" s="414">
        <f t="shared" si="1"/>
        <v>39224.135869565216</v>
      </c>
    </row>
    <row r="50" spans="1:6" ht="17.100000000000001" customHeight="1" thickTop="1" thickBot="1">
      <c r="B50" s="272" t="s">
        <v>373</v>
      </c>
      <c r="C50" s="414">
        <v>72</v>
      </c>
      <c r="D50" s="414">
        <v>9078</v>
      </c>
      <c r="E50" s="414">
        <v>2349658</v>
      </c>
      <c r="F50" s="414">
        <f t="shared" si="1"/>
        <v>32634.138888888891</v>
      </c>
    </row>
    <row r="51" spans="1:6" ht="17.100000000000001" customHeight="1" thickTop="1" thickBot="1">
      <c r="B51" s="272" t="s">
        <v>374</v>
      </c>
      <c r="C51" s="414">
        <v>137</v>
      </c>
      <c r="D51" s="414">
        <v>48559</v>
      </c>
      <c r="E51" s="414">
        <v>12989749</v>
      </c>
      <c r="F51" s="414">
        <f t="shared" si="1"/>
        <v>94815.686131386858</v>
      </c>
    </row>
    <row r="52" spans="1:6" ht="17.100000000000001" customHeight="1" thickTop="1" thickBot="1">
      <c r="B52" s="272" t="s">
        <v>375</v>
      </c>
      <c r="C52" s="414">
        <v>44</v>
      </c>
      <c r="D52" s="414">
        <v>4790</v>
      </c>
      <c r="E52" s="414">
        <v>1201728</v>
      </c>
      <c r="F52" s="414">
        <f t="shared" si="1"/>
        <v>27312</v>
      </c>
    </row>
    <row r="53" spans="1:6" ht="17.100000000000001" customHeight="1" thickTop="1" thickBot="1">
      <c r="B53" s="272" t="s">
        <v>376</v>
      </c>
      <c r="C53" s="414">
        <v>110</v>
      </c>
      <c r="D53" s="414">
        <v>15123</v>
      </c>
      <c r="E53" s="414">
        <v>3863299</v>
      </c>
      <c r="F53" s="414">
        <f t="shared" si="1"/>
        <v>35120.9</v>
      </c>
    </row>
    <row r="54" spans="1:6" ht="17.100000000000001" customHeight="1" thickTop="1" thickBot="1">
      <c r="B54" s="272" t="s">
        <v>377</v>
      </c>
      <c r="C54" s="414">
        <v>46</v>
      </c>
      <c r="D54" s="414">
        <v>6426</v>
      </c>
      <c r="E54" s="414">
        <v>1619640</v>
      </c>
      <c r="F54" s="414">
        <f t="shared" si="1"/>
        <v>35209.565217391304</v>
      </c>
    </row>
    <row r="55" spans="1:6" ht="17.100000000000001" customHeight="1" thickTop="1" thickBot="1">
      <c r="B55" s="272" t="s">
        <v>378</v>
      </c>
      <c r="C55" s="414">
        <v>79</v>
      </c>
      <c r="D55" s="414">
        <v>12083</v>
      </c>
      <c r="E55" s="414">
        <v>3424262</v>
      </c>
      <c r="F55" s="414">
        <f t="shared" si="1"/>
        <v>43345.088607594938</v>
      </c>
    </row>
    <row r="56" spans="1:6" ht="17.100000000000001" customHeight="1" thickTop="1" thickBot="1">
      <c r="B56" s="272" t="s">
        <v>379</v>
      </c>
      <c r="C56" s="414">
        <v>27</v>
      </c>
      <c r="D56" s="414">
        <v>3215</v>
      </c>
      <c r="E56" s="414">
        <v>874828</v>
      </c>
      <c r="F56" s="414">
        <f t="shared" si="1"/>
        <v>32401.037037037036</v>
      </c>
    </row>
    <row r="57" spans="1:6" ht="17.100000000000001" customHeight="1" thickTop="1" thickBot="1">
      <c r="B57" s="272" t="s">
        <v>380</v>
      </c>
      <c r="C57" s="414">
        <v>106</v>
      </c>
      <c r="D57" s="414">
        <v>10229</v>
      </c>
      <c r="E57" s="414">
        <v>2821355</v>
      </c>
      <c r="F57" s="414">
        <f t="shared" si="1"/>
        <v>26616.556603773584</v>
      </c>
    </row>
    <row r="58" spans="1:6" ht="17.100000000000001" customHeight="1" thickTop="1" thickBot="1">
      <c r="B58" s="272" t="s">
        <v>381</v>
      </c>
      <c r="C58" s="414">
        <v>237</v>
      </c>
      <c r="D58" s="414">
        <v>11717</v>
      </c>
      <c r="E58" s="414">
        <v>1975500</v>
      </c>
      <c r="F58" s="414">
        <f t="shared" si="1"/>
        <v>8335.4430379746827</v>
      </c>
    </row>
    <row r="59" spans="1:6" ht="17.100000000000001" customHeight="1" thickTop="1" thickBot="1">
      <c r="A59" s="29"/>
      <c r="B59" s="272" t="s">
        <v>382</v>
      </c>
      <c r="C59" s="414">
        <v>90</v>
      </c>
      <c r="D59" s="414">
        <v>20711</v>
      </c>
      <c r="E59" s="414">
        <v>9467981</v>
      </c>
      <c r="F59" s="414">
        <f t="shared" si="1"/>
        <v>105199.78888888888</v>
      </c>
    </row>
    <row r="60" spans="1:6" ht="17.100000000000001" customHeight="1" thickTop="1" thickBot="1">
      <c r="B60" s="272" t="s">
        <v>383</v>
      </c>
      <c r="C60" s="414">
        <v>168</v>
      </c>
      <c r="D60" s="414">
        <v>16411</v>
      </c>
      <c r="E60" s="414">
        <v>4051279</v>
      </c>
      <c r="F60" s="414">
        <f t="shared" si="1"/>
        <v>24114.755952380954</v>
      </c>
    </row>
    <row r="61" spans="1:6" ht="17.100000000000001" customHeight="1" thickTop="1" thickBot="1">
      <c r="B61" s="272" t="s">
        <v>384</v>
      </c>
      <c r="C61" s="414">
        <v>398</v>
      </c>
      <c r="D61" s="414">
        <v>44595</v>
      </c>
      <c r="E61" s="414">
        <v>13729609</v>
      </c>
      <c r="F61" s="414">
        <f t="shared" si="1"/>
        <v>34496.505025125625</v>
      </c>
    </row>
    <row r="62" spans="1:6" ht="17.100000000000001" customHeight="1" thickTop="1" thickBot="1">
      <c r="B62" s="272" t="s">
        <v>385</v>
      </c>
      <c r="C62" s="414">
        <v>36</v>
      </c>
      <c r="D62" s="414">
        <v>2078</v>
      </c>
      <c r="E62" s="414">
        <v>438269</v>
      </c>
      <c r="F62" s="414">
        <f t="shared" si="1"/>
        <v>12174.138888888889</v>
      </c>
    </row>
    <row r="63" spans="1:6" ht="17.100000000000001" customHeight="1" thickTop="1" thickBot="1">
      <c r="B63" s="272" t="s">
        <v>386</v>
      </c>
      <c r="C63" s="414">
        <v>94</v>
      </c>
      <c r="D63" s="414">
        <v>7286</v>
      </c>
      <c r="E63" s="414">
        <v>1842378</v>
      </c>
      <c r="F63" s="414">
        <f t="shared" si="1"/>
        <v>19599.765957446809</v>
      </c>
    </row>
    <row r="64" spans="1:6" ht="17.100000000000001" customHeight="1" thickTop="1" thickBot="1">
      <c r="B64" s="272" t="s">
        <v>387</v>
      </c>
      <c r="C64" s="414">
        <v>44</v>
      </c>
      <c r="D64" s="414">
        <v>3151</v>
      </c>
      <c r="E64" s="414">
        <v>689792</v>
      </c>
      <c r="F64" s="414">
        <f t="shared" si="1"/>
        <v>15677.09090909091</v>
      </c>
    </row>
    <row r="65" spans="1:6" ht="17.100000000000001" customHeight="1" thickTop="1" thickBot="1">
      <c r="B65" s="272" t="s">
        <v>388</v>
      </c>
      <c r="C65" s="414">
        <v>45</v>
      </c>
      <c r="D65" s="414">
        <v>2450</v>
      </c>
      <c r="E65" s="414">
        <v>486608</v>
      </c>
      <c r="F65" s="414">
        <f t="shared" si="1"/>
        <v>10813.511111111111</v>
      </c>
    </row>
    <row r="66" spans="1:6" ht="17.100000000000001" customHeight="1" thickTop="1" thickBot="1">
      <c r="B66" s="272" t="s">
        <v>389</v>
      </c>
      <c r="C66" s="414">
        <v>58</v>
      </c>
      <c r="D66" s="414">
        <v>5187</v>
      </c>
      <c r="E66" s="414">
        <v>1118515</v>
      </c>
      <c r="F66" s="414">
        <f t="shared" si="1"/>
        <v>19284.741379310344</v>
      </c>
    </row>
    <row r="67" spans="1:6" ht="17.100000000000001" customHeight="1" thickTop="1" thickBot="1">
      <c r="B67" s="272" t="s">
        <v>390</v>
      </c>
      <c r="C67" s="414">
        <v>47</v>
      </c>
      <c r="D67" s="414">
        <v>3172</v>
      </c>
      <c r="E67" s="414">
        <v>655419</v>
      </c>
      <c r="F67" s="414">
        <f t="shared" si="1"/>
        <v>13945.08510638298</v>
      </c>
    </row>
    <row r="68" spans="1:6" ht="17.100000000000001" customHeight="1" thickTop="1" thickBot="1">
      <c r="B68" s="272" t="s">
        <v>391</v>
      </c>
      <c r="C68" s="414">
        <v>91</v>
      </c>
      <c r="D68" s="414">
        <v>4313</v>
      </c>
      <c r="E68" s="414">
        <v>766527</v>
      </c>
      <c r="F68" s="414">
        <f t="shared" si="1"/>
        <v>8423.3736263736264</v>
      </c>
    </row>
    <row r="69" spans="1:6" ht="17.100000000000001" customHeight="1" thickTop="1" thickBot="1">
      <c r="B69" s="272" t="s">
        <v>392</v>
      </c>
      <c r="C69" s="414">
        <v>61</v>
      </c>
      <c r="D69" s="414">
        <v>3726</v>
      </c>
      <c r="E69" s="414">
        <v>800665</v>
      </c>
      <c r="F69" s="414">
        <f t="shared" ref="F69:F86" si="2">+E69/C69</f>
        <v>13125.655737704918</v>
      </c>
    </row>
    <row r="70" spans="1:6" ht="17.100000000000001" customHeight="1" thickTop="1" thickBot="1">
      <c r="A70" s="29"/>
      <c r="B70" s="272" t="s">
        <v>393</v>
      </c>
      <c r="C70" s="414">
        <v>249</v>
      </c>
      <c r="D70" s="414">
        <v>21477</v>
      </c>
      <c r="E70" s="414">
        <v>6116663</v>
      </c>
      <c r="F70" s="414">
        <f t="shared" si="2"/>
        <v>24564.911646586344</v>
      </c>
    </row>
    <row r="71" spans="1:6" ht="17.100000000000001" customHeight="1" thickTop="1" thickBot="1">
      <c r="B71" s="272" t="s">
        <v>394</v>
      </c>
      <c r="C71" s="414">
        <v>53</v>
      </c>
      <c r="D71" s="414">
        <v>3898</v>
      </c>
      <c r="E71" s="414">
        <v>829712</v>
      </c>
      <c r="F71" s="414">
        <f t="shared" si="2"/>
        <v>15654.943396226416</v>
      </c>
    </row>
    <row r="72" spans="1:6" ht="17.100000000000001" customHeight="1" thickTop="1" thickBot="1">
      <c r="B72" s="272" t="s">
        <v>395</v>
      </c>
      <c r="C72" s="414">
        <v>127</v>
      </c>
      <c r="D72" s="414">
        <v>6064</v>
      </c>
      <c r="E72" s="414">
        <v>1034026</v>
      </c>
      <c r="F72" s="414">
        <f t="shared" si="2"/>
        <v>8141.9370078740158</v>
      </c>
    </row>
    <row r="73" spans="1:6" ht="17.100000000000001" customHeight="1" thickTop="1" thickBot="1">
      <c r="B73" s="272" t="s">
        <v>396</v>
      </c>
      <c r="C73" s="414">
        <v>34</v>
      </c>
      <c r="D73" s="414">
        <v>2238</v>
      </c>
      <c r="E73" s="414">
        <v>530901</v>
      </c>
      <c r="F73" s="414">
        <f t="shared" si="2"/>
        <v>15614.735294117647</v>
      </c>
    </row>
    <row r="74" spans="1:6" ht="17.100000000000001" customHeight="1" thickTop="1" thickBot="1">
      <c r="B74" s="272" t="s">
        <v>397</v>
      </c>
      <c r="C74" s="414">
        <v>214</v>
      </c>
      <c r="D74" s="414">
        <v>22872</v>
      </c>
      <c r="E74" s="414">
        <v>5630182</v>
      </c>
      <c r="F74" s="414">
        <f t="shared" si="2"/>
        <v>26309.261682242992</v>
      </c>
    </row>
    <row r="75" spans="1:6" ht="17.100000000000001" customHeight="1" thickTop="1" thickBot="1">
      <c r="B75" s="272" t="s">
        <v>398</v>
      </c>
      <c r="C75" s="414">
        <v>45</v>
      </c>
      <c r="D75" s="414">
        <v>3056</v>
      </c>
      <c r="E75" s="414">
        <v>676448</v>
      </c>
      <c r="F75" s="414">
        <f t="shared" si="2"/>
        <v>15032.177777777777</v>
      </c>
    </row>
    <row r="76" spans="1:6" ht="17.100000000000001" customHeight="1" thickTop="1" thickBot="1">
      <c r="B76" s="272" t="s">
        <v>399</v>
      </c>
      <c r="C76" s="414">
        <v>113</v>
      </c>
      <c r="D76" s="414">
        <v>5871</v>
      </c>
      <c r="E76" s="414">
        <v>1046637</v>
      </c>
      <c r="F76" s="414">
        <f t="shared" si="2"/>
        <v>9262.2743362831861</v>
      </c>
    </row>
    <row r="77" spans="1:6" ht="17.100000000000001" customHeight="1" thickTop="1" thickBot="1">
      <c r="B77" s="272" t="s">
        <v>400</v>
      </c>
      <c r="C77" s="414">
        <v>289</v>
      </c>
      <c r="D77" s="414">
        <v>14335</v>
      </c>
      <c r="E77" s="414">
        <v>2509169</v>
      </c>
      <c r="F77" s="414">
        <f t="shared" si="2"/>
        <v>8682.2456747404849</v>
      </c>
    </row>
    <row r="78" spans="1:6" ht="17.100000000000001" customHeight="1" thickTop="1" thickBot="1">
      <c r="B78" s="272" t="s">
        <v>401</v>
      </c>
      <c r="C78" s="414">
        <v>45</v>
      </c>
      <c r="D78" s="414">
        <v>3780</v>
      </c>
      <c r="E78" s="414">
        <v>856842</v>
      </c>
      <c r="F78" s="414">
        <f t="shared" si="2"/>
        <v>19040.933333333334</v>
      </c>
    </row>
    <row r="79" spans="1:6" ht="17.100000000000001" customHeight="1" thickTop="1" thickBot="1">
      <c r="B79" s="272" t="s">
        <v>402</v>
      </c>
      <c r="C79" s="414">
        <v>119</v>
      </c>
      <c r="D79" s="414">
        <v>6235</v>
      </c>
      <c r="E79" s="414">
        <v>1124676</v>
      </c>
      <c r="F79" s="414">
        <f t="shared" si="2"/>
        <v>9451.0588235294126</v>
      </c>
    </row>
    <row r="80" spans="1:6" ht="17.100000000000001" customHeight="1" thickTop="1" thickBot="1">
      <c r="B80" s="272" t="s">
        <v>403</v>
      </c>
      <c r="C80" s="414">
        <v>78</v>
      </c>
      <c r="D80" s="414">
        <v>13219</v>
      </c>
      <c r="E80" s="414">
        <v>3788328</v>
      </c>
      <c r="F80" s="414">
        <f t="shared" si="2"/>
        <v>48568.307692307695</v>
      </c>
    </row>
    <row r="81" spans="1:11" ht="17.100000000000001" customHeight="1" thickTop="1" thickBot="1">
      <c r="A81" s="29"/>
      <c r="B81" s="272" t="s">
        <v>404</v>
      </c>
      <c r="C81" s="414">
        <v>90</v>
      </c>
      <c r="D81" s="414">
        <v>6806</v>
      </c>
      <c r="E81" s="414">
        <v>1698352</v>
      </c>
      <c r="F81" s="414">
        <f t="shared" si="2"/>
        <v>18870.577777777777</v>
      </c>
    </row>
    <row r="82" spans="1:11" ht="17.100000000000001" customHeight="1" thickTop="1" thickBot="1">
      <c r="A82" s="29"/>
      <c r="B82" s="272" t="s">
        <v>405</v>
      </c>
      <c r="C82" s="414">
        <v>456</v>
      </c>
      <c r="D82" s="414">
        <v>25136</v>
      </c>
      <c r="E82" s="414">
        <v>4717540</v>
      </c>
      <c r="F82" s="414">
        <f t="shared" si="2"/>
        <v>10345.482456140351</v>
      </c>
    </row>
    <row r="83" spans="1:11" ht="17.100000000000001" customHeight="1" thickTop="1" thickBot="1">
      <c r="B83" s="272" t="s">
        <v>406</v>
      </c>
      <c r="C83" s="414">
        <v>117</v>
      </c>
      <c r="D83" s="414">
        <v>5686</v>
      </c>
      <c r="E83" s="414">
        <v>1020957</v>
      </c>
      <c r="F83" s="414">
        <f t="shared" si="2"/>
        <v>8726.1282051282051</v>
      </c>
    </row>
    <row r="84" spans="1:11" ht="17.100000000000001" customHeight="1" thickTop="1" thickBot="1">
      <c r="B84" s="272" t="s">
        <v>407</v>
      </c>
      <c r="C84" s="414">
        <v>119</v>
      </c>
      <c r="D84" s="414">
        <v>7129</v>
      </c>
      <c r="E84" s="414">
        <v>1591813</v>
      </c>
      <c r="F84" s="414">
        <f t="shared" si="2"/>
        <v>13376.579831932773</v>
      </c>
    </row>
    <row r="85" spans="1:11" ht="17.100000000000001" customHeight="1" thickTop="1" thickBot="1">
      <c r="B85" s="272" t="s">
        <v>408</v>
      </c>
      <c r="C85" s="414">
        <v>94</v>
      </c>
      <c r="D85" s="414">
        <v>4125</v>
      </c>
      <c r="E85" s="414">
        <v>687130</v>
      </c>
      <c r="F85" s="414">
        <f t="shared" si="2"/>
        <v>7309.8936170212764</v>
      </c>
    </row>
    <row r="86" spans="1:11" ht="17.100000000000001" customHeight="1" thickTop="1">
      <c r="B86" s="274" t="s">
        <v>409</v>
      </c>
      <c r="C86" s="415">
        <v>266</v>
      </c>
      <c r="D86" s="415">
        <v>12092</v>
      </c>
      <c r="E86" s="415">
        <v>2207142</v>
      </c>
      <c r="F86" s="415">
        <f t="shared" si="2"/>
        <v>8297.5263157894733</v>
      </c>
    </row>
    <row r="87" spans="1:11" ht="17.100000000000001" customHeight="1" thickBot="1">
      <c r="B87" s="248"/>
      <c r="C87" s="249"/>
      <c r="D87" s="249"/>
      <c r="E87" s="249"/>
      <c r="F87" s="249"/>
    </row>
    <row r="88" spans="1:11" ht="16.5" customHeight="1" thickTop="1" thickBot="1">
      <c r="B88" s="469" t="s">
        <v>648</v>
      </c>
      <c r="C88" s="470"/>
      <c r="D88" s="470"/>
      <c r="E88" s="470"/>
      <c r="F88" s="470"/>
    </row>
    <row r="89" spans="1:11" ht="15.75" thickTop="1">
      <c r="A89" s="10"/>
      <c r="B89" s="10"/>
      <c r="C89" s="30"/>
      <c r="D89" s="30"/>
      <c r="E89" s="30"/>
      <c r="F89" s="10"/>
      <c r="G89" s="10"/>
      <c r="H89" s="10"/>
      <c r="I89" s="10"/>
      <c r="J89" s="10"/>
      <c r="K89" s="15"/>
    </row>
    <row r="90" spans="1:11" ht="15">
      <c r="B90" s="10"/>
      <c r="C90" s="30"/>
      <c r="D90" s="30"/>
      <c r="E90" s="30"/>
    </row>
    <row r="91" spans="1:11" ht="15">
      <c r="B91" s="10"/>
      <c r="C91" s="234"/>
      <c r="D91" s="234"/>
      <c r="E91" s="234"/>
      <c r="F91" s="30"/>
    </row>
    <row r="92" spans="1:11" s="15" customFormat="1">
      <c r="A92"/>
      <c r="C92" s="192"/>
      <c r="D92" s="192"/>
      <c r="E92" s="192"/>
      <c r="K92"/>
    </row>
    <row r="93" spans="1:11" s="15" customFormat="1">
      <c r="A93"/>
      <c r="C93" s="192"/>
      <c r="K93"/>
    </row>
    <row r="94" spans="1:11" s="15" customFormat="1">
      <c r="A94"/>
      <c r="K94"/>
    </row>
    <row r="95" spans="1:11" s="15" customFormat="1">
      <c r="A95"/>
      <c r="K95"/>
    </row>
    <row r="96" spans="1:11" s="15" customFormat="1">
      <c r="A96"/>
      <c r="K96"/>
    </row>
    <row r="97" spans="1:11" s="15" customFormat="1">
      <c r="A97"/>
      <c r="K97"/>
    </row>
    <row r="98" spans="1:11" s="15" customFormat="1">
      <c r="A98"/>
      <c r="K98"/>
    </row>
    <row r="99" spans="1:11" s="15" customFormat="1">
      <c r="A99"/>
      <c r="K99"/>
    </row>
    <row r="100" spans="1:11" s="15" customFormat="1">
      <c r="A100"/>
      <c r="K100"/>
    </row>
    <row r="101" spans="1:11" s="15" customFormat="1">
      <c r="A101"/>
      <c r="K101"/>
    </row>
    <row r="102" spans="1:11" s="15" customFormat="1">
      <c r="A102"/>
      <c r="K102"/>
    </row>
    <row r="103" spans="1:11" s="15" customFormat="1">
      <c r="A103"/>
      <c r="K103"/>
    </row>
    <row r="104" spans="1:11" s="15" customFormat="1">
      <c r="A104"/>
      <c r="K104"/>
    </row>
    <row r="125" spans="1:11" s="15" customFormat="1" ht="15">
      <c r="A125"/>
      <c r="B125" s="31"/>
      <c r="K125"/>
    </row>
  </sheetData>
  <mergeCells count="3">
    <mergeCell ref="B2:F2"/>
    <mergeCell ref="B3:F3"/>
    <mergeCell ref="B88:F88"/>
  </mergeCells>
  <hyperlinks>
    <hyperlink ref="B3:F3" location="'Capitulo 2'!B20" display="Número de obras de construcción residencial (viviendas y apartamentos), área (m2), valor (en miles de colones) y valor promedio por obra (en miles de colones), según cantón. 2018." xr:uid="{00000000-0004-0000-09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ignoredErrors>
    <ignoredError sqref="F5:F86" evalError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25"/>
  <sheetViews>
    <sheetView showGridLines="0" zoomScaleNormal="100" workbookViewId="0">
      <pane ySplit="4" topLeftCell="A5" activePane="bottomLeft" state="frozen"/>
      <selection pane="bottomLeft" activeCell="K16" sqref="K16"/>
    </sheetView>
  </sheetViews>
  <sheetFormatPr baseColWidth="10" defaultRowHeight="14.25"/>
  <cols>
    <col min="1" max="1" width="11.42578125" style="22" customWidth="1"/>
    <col min="2" max="2" width="24.7109375" style="219" bestFit="1" customWidth="1"/>
    <col min="3" max="4" width="19.85546875" style="219" customWidth="1"/>
    <col min="5" max="5" width="19.5703125" style="219" customWidth="1"/>
    <col min="6" max="6" width="17.7109375" style="219" customWidth="1"/>
    <col min="7" max="11" width="11.42578125" style="219" customWidth="1"/>
    <col min="12" max="16384" width="11.42578125" style="22"/>
  </cols>
  <sheetData>
    <row r="1" spans="2:7" ht="15.75">
      <c r="B1" s="218"/>
      <c r="C1" s="218"/>
      <c r="D1" s="218"/>
      <c r="E1" s="25"/>
      <c r="F1" s="25"/>
    </row>
    <row r="2" spans="2:7" ht="15.75" customHeight="1">
      <c r="B2" s="487" t="s">
        <v>291</v>
      </c>
      <c r="C2" s="487"/>
      <c r="D2" s="487"/>
      <c r="E2" s="487"/>
      <c r="F2" s="487"/>
    </row>
    <row r="3" spans="2:7" ht="54.75" customHeight="1" thickBot="1">
      <c r="B3" s="464" t="s">
        <v>701</v>
      </c>
      <c r="C3" s="464"/>
      <c r="D3" s="464"/>
      <c r="E3" s="464"/>
      <c r="F3" s="464"/>
    </row>
    <row r="4" spans="2:7" ht="51" customHeight="1" thickTop="1">
      <c r="B4" s="311" t="s">
        <v>15</v>
      </c>
      <c r="C4" s="311" t="s">
        <v>98</v>
      </c>
      <c r="D4" s="311" t="s">
        <v>99</v>
      </c>
      <c r="E4" s="311" t="s">
        <v>540</v>
      </c>
      <c r="F4" s="311" t="s">
        <v>100</v>
      </c>
    </row>
    <row r="5" spans="2:7" ht="17.100000000000001" customHeight="1">
      <c r="B5" s="246" t="s">
        <v>103</v>
      </c>
      <c r="C5" s="416">
        <f>SUM(C6:C86)</f>
        <v>1122</v>
      </c>
      <c r="D5" s="416">
        <f>SUM(D6:D86)</f>
        <v>69037</v>
      </c>
      <c r="E5" s="416">
        <f>SUM(E6:E86)</f>
        <v>13218975</v>
      </c>
      <c r="F5" s="416">
        <f>+E5/C5</f>
        <v>11781.617647058823</v>
      </c>
      <c r="G5" s="222"/>
    </row>
    <row r="6" spans="2:7" ht="17.100000000000001" customHeight="1">
      <c r="B6" s="246" t="s">
        <v>348</v>
      </c>
      <c r="C6" s="416">
        <v>24</v>
      </c>
      <c r="D6" s="416">
        <v>1977</v>
      </c>
      <c r="E6" s="416">
        <v>451917</v>
      </c>
      <c r="F6" s="416">
        <f>+E6/C6</f>
        <v>18829.875</v>
      </c>
      <c r="G6" s="222"/>
    </row>
    <row r="7" spans="2:7" ht="17.100000000000001" customHeight="1">
      <c r="B7" s="246" t="s">
        <v>349</v>
      </c>
      <c r="C7" s="416">
        <v>10</v>
      </c>
      <c r="D7" s="416">
        <v>844</v>
      </c>
      <c r="E7" s="416">
        <v>210863</v>
      </c>
      <c r="F7" s="416">
        <f t="shared" ref="F7:F70" si="0">+E7/C7</f>
        <v>21086.3</v>
      </c>
      <c r="G7" s="222"/>
    </row>
    <row r="8" spans="2:7" ht="17.100000000000001" customHeight="1">
      <c r="B8" s="246" t="s">
        <v>350</v>
      </c>
      <c r="C8" s="416">
        <v>54</v>
      </c>
      <c r="D8" s="416">
        <v>2483</v>
      </c>
      <c r="E8" s="416">
        <v>504210</v>
      </c>
      <c r="F8" s="416">
        <f t="shared" si="0"/>
        <v>9337.2222222222226</v>
      </c>
      <c r="G8" s="222"/>
    </row>
    <row r="9" spans="2:7" ht="17.100000000000001" customHeight="1">
      <c r="B9" s="246" t="s">
        <v>208</v>
      </c>
      <c r="C9" s="416">
        <v>20</v>
      </c>
      <c r="D9" s="416">
        <v>1114</v>
      </c>
      <c r="E9" s="416">
        <v>224960</v>
      </c>
      <c r="F9" s="416">
        <f t="shared" si="0"/>
        <v>11248</v>
      </c>
      <c r="G9" s="222"/>
    </row>
    <row r="10" spans="2:7" ht="17.100000000000001" customHeight="1">
      <c r="B10" s="246" t="s">
        <v>209</v>
      </c>
      <c r="C10" s="416">
        <v>5</v>
      </c>
      <c r="D10" s="416">
        <v>377</v>
      </c>
      <c r="E10" s="416">
        <v>44406</v>
      </c>
      <c r="F10" s="416">
        <f t="shared" si="0"/>
        <v>8881.2000000000007</v>
      </c>
      <c r="G10" s="222"/>
    </row>
    <row r="11" spans="2:7" ht="17.100000000000001" customHeight="1">
      <c r="B11" s="246" t="s">
        <v>351</v>
      </c>
      <c r="C11" s="416">
        <v>8</v>
      </c>
      <c r="D11" s="416">
        <v>217</v>
      </c>
      <c r="E11" s="416">
        <v>41724</v>
      </c>
      <c r="F11" s="416">
        <f t="shared" si="0"/>
        <v>5215.5</v>
      </c>
      <c r="G11" s="222"/>
    </row>
    <row r="12" spans="2:7" ht="17.100000000000001" customHeight="1">
      <c r="B12" s="246" t="s">
        <v>352</v>
      </c>
      <c r="C12" s="416">
        <v>12</v>
      </c>
      <c r="D12" s="416">
        <v>401</v>
      </c>
      <c r="E12" s="416">
        <v>68675</v>
      </c>
      <c r="F12" s="416">
        <f t="shared" si="0"/>
        <v>5722.916666666667</v>
      </c>
      <c r="G12" s="222"/>
    </row>
    <row r="13" spans="2:7" ht="17.100000000000001" customHeight="1">
      <c r="B13" s="246" t="s">
        <v>353</v>
      </c>
      <c r="C13" s="416">
        <v>39</v>
      </c>
      <c r="D13" s="416">
        <v>2586</v>
      </c>
      <c r="E13" s="416">
        <v>486823</v>
      </c>
      <c r="F13" s="416">
        <f t="shared" si="0"/>
        <v>12482.641025641025</v>
      </c>
      <c r="G13" s="222"/>
    </row>
    <row r="14" spans="2:7" ht="17.100000000000001" customHeight="1">
      <c r="B14" s="246" t="s">
        <v>354</v>
      </c>
      <c r="C14" s="416">
        <v>13</v>
      </c>
      <c r="D14" s="416">
        <v>914</v>
      </c>
      <c r="E14" s="416">
        <v>241025</v>
      </c>
      <c r="F14" s="416">
        <f t="shared" si="0"/>
        <v>18540.384615384617</v>
      </c>
      <c r="G14" s="222"/>
    </row>
    <row r="15" spans="2:7" ht="17.100000000000001" customHeight="1">
      <c r="B15" s="246" t="s">
        <v>355</v>
      </c>
      <c r="C15" s="416">
        <v>2</v>
      </c>
      <c r="D15" s="416">
        <v>49</v>
      </c>
      <c r="E15" s="416">
        <v>12525</v>
      </c>
      <c r="F15" s="416">
        <f t="shared" si="0"/>
        <v>6262.5</v>
      </c>
      <c r="G15" s="222"/>
    </row>
    <row r="16" spans="2:7" ht="17.100000000000001" customHeight="1">
      <c r="B16" s="246" t="s">
        <v>430</v>
      </c>
      <c r="C16" s="416">
        <v>16</v>
      </c>
      <c r="D16" s="416">
        <v>1953</v>
      </c>
      <c r="E16" s="416">
        <v>318036</v>
      </c>
      <c r="F16" s="416">
        <f t="shared" si="0"/>
        <v>19877.25</v>
      </c>
      <c r="G16" s="222"/>
    </row>
    <row r="17" spans="2:7" ht="17.100000000000001" customHeight="1">
      <c r="B17" s="246" t="s">
        <v>356</v>
      </c>
      <c r="C17" s="416">
        <v>8</v>
      </c>
      <c r="D17" s="416">
        <v>329</v>
      </c>
      <c r="E17" s="416">
        <v>50700</v>
      </c>
      <c r="F17" s="416">
        <f t="shared" si="0"/>
        <v>6337.5</v>
      </c>
      <c r="G17" s="222"/>
    </row>
    <row r="18" spans="2:7" ht="17.100000000000001" customHeight="1">
      <c r="B18" s="246" t="s">
        <v>357</v>
      </c>
      <c r="C18" s="416">
        <v>23</v>
      </c>
      <c r="D18" s="416">
        <v>1625</v>
      </c>
      <c r="E18" s="416">
        <v>301493</v>
      </c>
      <c r="F18" s="416">
        <f t="shared" si="0"/>
        <v>13108.391304347826</v>
      </c>
      <c r="G18" s="222"/>
    </row>
    <row r="19" spans="2:7" ht="17.100000000000001" customHeight="1">
      <c r="B19" s="246" t="s">
        <v>358</v>
      </c>
      <c r="C19" s="416">
        <v>9</v>
      </c>
      <c r="D19" s="416">
        <v>770</v>
      </c>
      <c r="E19" s="416">
        <v>151030</v>
      </c>
      <c r="F19" s="416">
        <f t="shared" si="0"/>
        <v>16781.111111111109</v>
      </c>
      <c r="G19" s="222"/>
    </row>
    <row r="20" spans="2:7" ht="17.100000000000001" customHeight="1">
      <c r="B20" s="246" t="s">
        <v>359</v>
      </c>
      <c r="C20" s="416">
        <v>8</v>
      </c>
      <c r="D20" s="416">
        <v>518</v>
      </c>
      <c r="E20" s="416">
        <v>120900</v>
      </c>
      <c r="F20" s="416">
        <f t="shared" si="0"/>
        <v>15112.5</v>
      </c>
      <c r="G20" s="222"/>
    </row>
    <row r="21" spans="2:7" ht="17.100000000000001" customHeight="1">
      <c r="B21" s="246" t="s">
        <v>219</v>
      </c>
      <c r="C21" s="416">
        <v>0</v>
      </c>
      <c r="D21" s="416">
        <v>0</v>
      </c>
      <c r="E21" s="416">
        <v>0</v>
      </c>
      <c r="F21" s="416" t="s">
        <v>156</v>
      </c>
      <c r="G21" s="222"/>
    </row>
    <row r="22" spans="2:7" ht="17.100000000000001" customHeight="1">
      <c r="B22" s="246" t="s">
        <v>220</v>
      </c>
      <c r="C22" s="416">
        <v>1</v>
      </c>
      <c r="D22" s="416">
        <v>30</v>
      </c>
      <c r="E22" s="416">
        <v>3500</v>
      </c>
      <c r="F22" s="416">
        <f t="shared" si="0"/>
        <v>3500</v>
      </c>
      <c r="G22" s="222"/>
    </row>
    <row r="23" spans="2:7" ht="17.100000000000001" customHeight="1">
      <c r="B23" s="246" t="s">
        <v>360</v>
      </c>
      <c r="C23" s="416">
        <v>18</v>
      </c>
      <c r="D23" s="416">
        <v>5432</v>
      </c>
      <c r="E23" s="416">
        <v>1096939</v>
      </c>
      <c r="F23" s="416">
        <f t="shared" si="0"/>
        <v>60941.055555555555</v>
      </c>
      <c r="G23" s="222"/>
    </row>
    <row r="24" spans="2:7" ht="17.100000000000001" customHeight="1">
      <c r="B24" s="246" t="s">
        <v>222</v>
      </c>
      <c r="C24" s="416">
        <v>40</v>
      </c>
      <c r="D24" s="416">
        <v>2065</v>
      </c>
      <c r="E24" s="416">
        <v>304333</v>
      </c>
      <c r="F24" s="416">
        <f t="shared" si="0"/>
        <v>7608.3249999999998</v>
      </c>
      <c r="G24" s="222"/>
    </row>
    <row r="25" spans="2:7" ht="17.100000000000001" customHeight="1">
      <c r="B25" s="246" t="s">
        <v>223</v>
      </c>
      <c r="C25" s="416">
        <v>4</v>
      </c>
      <c r="D25" s="416">
        <v>205</v>
      </c>
      <c r="E25" s="416">
        <v>36029</v>
      </c>
      <c r="F25" s="416">
        <f t="shared" si="0"/>
        <v>9007.25</v>
      </c>
      <c r="G25" s="222"/>
    </row>
    <row r="26" spans="2:7" ht="17.100000000000001" customHeight="1">
      <c r="B26" s="246" t="s">
        <v>361</v>
      </c>
      <c r="C26" s="416">
        <v>19</v>
      </c>
      <c r="D26" s="416">
        <v>1291</v>
      </c>
      <c r="E26" s="416">
        <v>269817</v>
      </c>
      <c r="F26" s="416">
        <f t="shared" si="0"/>
        <v>14200.894736842105</v>
      </c>
      <c r="G26" s="222"/>
    </row>
    <row r="27" spans="2:7" ht="17.100000000000001" customHeight="1">
      <c r="B27" s="246" t="s">
        <v>225</v>
      </c>
      <c r="C27" s="416">
        <v>18</v>
      </c>
      <c r="D27" s="416">
        <v>942</v>
      </c>
      <c r="E27" s="416">
        <v>191996</v>
      </c>
      <c r="F27" s="416">
        <f t="shared" si="0"/>
        <v>10666.444444444445</v>
      </c>
      <c r="G27" s="222"/>
    </row>
    <row r="28" spans="2:7" ht="17.100000000000001" customHeight="1">
      <c r="B28" s="246" t="s">
        <v>226</v>
      </c>
      <c r="C28" s="416">
        <v>38</v>
      </c>
      <c r="D28" s="416">
        <v>1577</v>
      </c>
      <c r="E28" s="416">
        <v>288422</v>
      </c>
      <c r="F28" s="416">
        <f t="shared" si="0"/>
        <v>7590.0526315789475</v>
      </c>
      <c r="G28" s="222"/>
    </row>
    <row r="29" spans="2:7" ht="17.100000000000001" customHeight="1">
      <c r="B29" s="246" t="s">
        <v>227</v>
      </c>
      <c r="C29" s="416">
        <v>19</v>
      </c>
      <c r="D29" s="416">
        <v>938</v>
      </c>
      <c r="E29" s="416">
        <v>94573</v>
      </c>
      <c r="F29" s="416">
        <f t="shared" si="0"/>
        <v>4977.5263157894733</v>
      </c>
      <c r="G29" s="222"/>
    </row>
    <row r="30" spans="2:7" ht="17.100000000000001" customHeight="1">
      <c r="B30" s="246" t="s">
        <v>362</v>
      </c>
      <c r="C30" s="416">
        <v>4</v>
      </c>
      <c r="D30" s="416">
        <v>550</v>
      </c>
      <c r="E30" s="416">
        <v>88956</v>
      </c>
      <c r="F30" s="416">
        <f t="shared" si="0"/>
        <v>22239</v>
      </c>
      <c r="G30" s="222"/>
    </row>
    <row r="31" spans="2:7" ht="17.100000000000001" customHeight="1">
      <c r="B31" s="246" t="s">
        <v>229</v>
      </c>
      <c r="C31" s="416">
        <v>6</v>
      </c>
      <c r="D31" s="416">
        <v>510</v>
      </c>
      <c r="E31" s="416">
        <v>81412</v>
      </c>
      <c r="F31" s="416">
        <f t="shared" si="0"/>
        <v>13568.666666666666</v>
      </c>
      <c r="G31" s="222"/>
    </row>
    <row r="32" spans="2:7" ht="17.100000000000001" customHeight="1">
      <c r="B32" s="246" t="s">
        <v>230</v>
      </c>
      <c r="C32" s="416">
        <v>12</v>
      </c>
      <c r="D32" s="416">
        <v>624</v>
      </c>
      <c r="E32" s="416">
        <v>71107</v>
      </c>
      <c r="F32" s="416">
        <f t="shared" si="0"/>
        <v>5925.583333333333</v>
      </c>
      <c r="G32" s="222"/>
    </row>
    <row r="33" spans="2:7" ht="17.100000000000001" customHeight="1">
      <c r="B33" s="246" t="s">
        <v>363</v>
      </c>
      <c r="C33" s="416">
        <v>14</v>
      </c>
      <c r="D33" s="416">
        <v>418</v>
      </c>
      <c r="E33" s="416">
        <v>65168</v>
      </c>
      <c r="F33" s="416">
        <f t="shared" si="0"/>
        <v>4654.8571428571431</v>
      </c>
      <c r="G33" s="222"/>
    </row>
    <row r="34" spans="2:7" ht="17.100000000000001" customHeight="1">
      <c r="B34" s="246" t="s">
        <v>232</v>
      </c>
      <c r="C34" s="416">
        <v>2</v>
      </c>
      <c r="D34" s="416">
        <v>171</v>
      </c>
      <c r="E34" s="416">
        <v>36570</v>
      </c>
      <c r="F34" s="416">
        <f t="shared" si="0"/>
        <v>18285</v>
      </c>
      <c r="G34" s="222"/>
    </row>
    <row r="35" spans="2:7" ht="17.100000000000001" customHeight="1">
      <c r="B35" s="246" t="s">
        <v>233</v>
      </c>
      <c r="C35" s="416">
        <v>22</v>
      </c>
      <c r="D35" s="416">
        <v>1845</v>
      </c>
      <c r="E35" s="416">
        <v>263056</v>
      </c>
      <c r="F35" s="416">
        <f t="shared" si="0"/>
        <v>11957.09090909091</v>
      </c>
      <c r="G35" s="222"/>
    </row>
    <row r="36" spans="2:7" ht="17.100000000000001" customHeight="1">
      <c r="B36" s="246" t="s">
        <v>234</v>
      </c>
      <c r="C36" s="416">
        <v>9</v>
      </c>
      <c r="D36" s="416">
        <v>461</v>
      </c>
      <c r="E36" s="416">
        <v>96044</v>
      </c>
      <c r="F36" s="416">
        <f t="shared" si="0"/>
        <v>10671.555555555555</v>
      </c>
      <c r="G36" s="222"/>
    </row>
    <row r="37" spans="2:7" ht="17.100000000000001" customHeight="1">
      <c r="B37" s="246" t="s">
        <v>235</v>
      </c>
      <c r="C37" s="416">
        <v>3</v>
      </c>
      <c r="D37" s="416">
        <v>123</v>
      </c>
      <c r="E37" s="416">
        <v>9547</v>
      </c>
      <c r="F37" s="416">
        <f t="shared" si="0"/>
        <v>3182.3333333333335</v>
      </c>
      <c r="G37" s="222"/>
    </row>
    <row r="38" spans="2:7" ht="17.100000000000001" customHeight="1">
      <c r="B38" s="246" t="s">
        <v>236</v>
      </c>
      <c r="C38" s="416">
        <v>8</v>
      </c>
      <c r="D38" s="416">
        <v>489</v>
      </c>
      <c r="E38" s="416">
        <v>42853</v>
      </c>
      <c r="F38" s="416">
        <f t="shared" si="0"/>
        <v>5356.625</v>
      </c>
      <c r="G38" s="222"/>
    </row>
    <row r="39" spans="2:7" ht="17.100000000000001" customHeight="1">
      <c r="B39" s="246" t="s">
        <v>237</v>
      </c>
      <c r="C39" s="416">
        <v>3</v>
      </c>
      <c r="D39" s="416">
        <v>105</v>
      </c>
      <c r="E39" s="416">
        <v>9768</v>
      </c>
      <c r="F39" s="416">
        <f t="shared" si="0"/>
        <v>3256</v>
      </c>
      <c r="G39" s="222"/>
    </row>
    <row r="40" spans="2:7" ht="17.100000000000001" customHeight="1">
      <c r="B40" s="246" t="s">
        <v>238</v>
      </c>
      <c r="C40" s="416">
        <v>2</v>
      </c>
      <c r="D40" s="416">
        <v>127</v>
      </c>
      <c r="E40" s="416">
        <v>17794</v>
      </c>
      <c r="F40" s="416">
        <f t="shared" si="0"/>
        <v>8897</v>
      </c>
      <c r="G40" s="222"/>
    </row>
    <row r="41" spans="2:7" ht="17.100000000000001" customHeight="1">
      <c r="B41" s="246" t="s">
        <v>364</v>
      </c>
      <c r="C41" s="416">
        <v>30</v>
      </c>
      <c r="D41" s="416">
        <v>2066</v>
      </c>
      <c r="E41" s="416">
        <v>370428</v>
      </c>
      <c r="F41" s="416">
        <f t="shared" si="0"/>
        <v>12347.6</v>
      </c>
      <c r="G41" s="222"/>
    </row>
    <row r="42" spans="2:7" ht="17.100000000000001" customHeight="1">
      <c r="B42" s="246" t="s">
        <v>365</v>
      </c>
      <c r="C42" s="416">
        <v>9</v>
      </c>
      <c r="D42" s="416">
        <v>404</v>
      </c>
      <c r="E42" s="416">
        <v>61004</v>
      </c>
      <c r="F42" s="416">
        <f t="shared" si="0"/>
        <v>6778.2222222222226</v>
      </c>
      <c r="G42" s="222"/>
    </row>
    <row r="43" spans="2:7" ht="17.100000000000001" customHeight="1">
      <c r="B43" s="246" t="s">
        <v>366</v>
      </c>
      <c r="C43" s="416">
        <v>38</v>
      </c>
      <c r="D43" s="416">
        <v>2527</v>
      </c>
      <c r="E43" s="416">
        <v>611676</v>
      </c>
      <c r="F43" s="416">
        <f t="shared" si="0"/>
        <v>16096.736842105263</v>
      </c>
      <c r="G43" s="222"/>
    </row>
    <row r="44" spans="2:7" ht="17.100000000000001" customHeight="1">
      <c r="B44" s="246" t="s">
        <v>367</v>
      </c>
      <c r="C44" s="416">
        <v>2</v>
      </c>
      <c r="D44" s="416">
        <v>47</v>
      </c>
      <c r="E44" s="416">
        <v>6040</v>
      </c>
      <c r="F44" s="416">
        <f t="shared" si="0"/>
        <v>3020</v>
      </c>
      <c r="G44" s="222"/>
    </row>
    <row r="45" spans="2:7" ht="17.100000000000001" customHeight="1">
      <c r="B45" s="246" t="s">
        <v>368</v>
      </c>
      <c r="C45" s="416">
        <v>15</v>
      </c>
      <c r="D45" s="416">
        <v>676</v>
      </c>
      <c r="E45" s="416">
        <v>114849</v>
      </c>
      <c r="F45" s="416">
        <f t="shared" si="0"/>
        <v>7656.6</v>
      </c>
      <c r="G45" s="222"/>
    </row>
    <row r="46" spans="2:7" ht="17.100000000000001" customHeight="1">
      <c r="B46" s="246" t="s">
        <v>369</v>
      </c>
      <c r="C46" s="416">
        <v>5</v>
      </c>
      <c r="D46" s="416">
        <v>121</v>
      </c>
      <c r="E46" s="416">
        <v>10430</v>
      </c>
      <c r="F46" s="416">
        <f t="shared" si="0"/>
        <v>2086</v>
      </c>
      <c r="G46" s="222"/>
    </row>
    <row r="47" spans="2:7" ht="17.100000000000001" customHeight="1">
      <c r="B47" s="246" t="s">
        <v>370</v>
      </c>
      <c r="C47" s="416">
        <v>36</v>
      </c>
      <c r="D47" s="416">
        <v>1990</v>
      </c>
      <c r="E47" s="416">
        <v>327380</v>
      </c>
      <c r="F47" s="416">
        <f t="shared" si="0"/>
        <v>9093.8888888888887</v>
      </c>
      <c r="G47" s="222"/>
    </row>
    <row r="48" spans="2:7" ht="17.100000000000001" customHeight="1">
      <c r="B48" s="246" t="s">
        <v>371</v>
      </c>
      <c r="C48" s="416">
        <v>12</v>
      </c>
      <c r="D48" s="416">
        <v>706</v>
      </c>
      <c r="E48" s="416">
        <v>156651</v>
      </c>
      <c r="F48" s="416">
        <f t="shared" si="0"/>
        <v>13054.25</v>
      </c>
      <c r="G48" s="222"/>
    </row>
    <row r="49" spans="2:7" ht="17.100000000000001" customHeight="1">
      <c r="B49" s="246" t="s">
        <v>372</v>
      </c>
      <c r="C49" s="416">
        <v>52</v>
      </c>
      <c r="D49" s="416">
        <v>3600</v>
      </c>
      <c r="E49" s="416">
        <v>872305</v>
      </c>
      <c r="F49" s="416">
        <f t="shared" si="0"/>
        <v>16775.096153846152</v>
      </c>
      <c r="G49" s="222"/>
    </row>
    <row r="50" spans="2:7" ht="17.100000000000001" customHeight="1">
      <c r="B50" s="246" t="s">
        <v>373</v>
      </c>
      <c r="C50" s="416">
        <v>17</v>
      </c>
      <c r="D50" s="416">
        <v>1238</v>
      </c>
      <c r="E50" s="416">
        <v>237847</v>
      </c>
      <c r="F50" s="416">
        <f t="shared" si="0"/>
        <v>13991</v>
      </c>
      <c r="G50" s="222"/>
    </row>
    <row r="51" spans="2:7" ht="17.100000000000001" customHeight="1">
      <c r="B51" s="246" t="s">
        <v>374</v>
      </c>
      <c r="C51" s="416">
        <v>20</v>
      </c>
      <c r="D51" s="416">
        <v>1566</v>
      </c>
      <c r="E51" s="416">
        <v>362817</v>
      </c>
      <c r="F51" s="416">
        <f t="shared" si="0"/>
        <v>18140.849999999999</v>
      </c>
      <c r="G51" s="222"/>
    </row>
    <row r="52" spans="2:7" ht="17.100000000000001" customHeight="1">
      <c r="B52" s="246" t="s">
        <v>375</v>
      </c>
      <c r="C52" s="416">
        <v>15</v>
      </c>
      <c r="D52" s="416">
        <v>670</v>
      </c>
      <c r="E52" s="416">
        <v>100540</v>
      </c>
      <c r="F52" s="416">
        <f t="shared" si="0"/>
        <v>6702.666666666667</v>
      </c>
      <c r="G52" s="222"/>
    </row>
    <row r="53" spans="2:7" ht="17.100000000000001" customHeight="1">
      <c r="B53" s="246" t="s">
        <v>376</v>
      </c>
      <c r="C53" s="416">
        <v>20</v>
      </c>
      <c r="D53" s="416">
        <v>1433</v>
      </c>
      <c r="E53" s="416">
        <v>323480</v>
      </c>
      <c r="F53" s="416">
        <f t="shared" si="0"/>
        <v>16174</v>
      </c>
      <c r="G53" s="222"/>
    </row>
    <row r="54" spans="2:7" ht="17.100000000000001" customHeight="1">
      <c r="B54" s="246" t="s">
        <v>377</v>
      </c>
      <c r="C54" s="416">
        <v>39</v>
      </c>
      <c r="D54" s="416">
        <v>1587</v>
      </c>
      <c r="E54" s="416">
        <v>270371</v>
      </c>
      <c r="F54" s="416">
        <f t="shared" si="0"/>
        <v>6932.5897435897432</v>
      </c>
      <c r="G54" s="222"/>
    </row>
    <row r="55" spans="2:7" ht="17.100000000000001" customHeight="1">
      <c r="B55" s="246" t="s">
        <v>378</v>
      </c>
      <c r="C55" s="416">
        <v>27</v>
      </c>
      <c r="D55" s="416">
        <v>1167</v>
      </c>
      <c r="E55" s="416">
        <v>268273</v>
      </c>
      <c r="F55" s="416">
        <f t="shared" si="0"/>
        <v>9936.0370370370365</v>
      </c>
      <c r="G55" s="222"/>
    </row>
    <row r="56" spans="2:7" ht="17.100000000000001" customHeight="1">
      <c r="B56" s="246" t="s">
        <v>379</v>
      </c>
      <c r="C56" s="416">
        <v>5</v>
      </c>
      <c r="D56" s="416">
        <v>176</v>
      </c>
      <c r="E56" s="416">
        <v>41244</v>
      </c>
      <c r="F56" s="416">
        <f t="shared" si="0"/>
        <v>8248.7999999999993</v>
      </c>
      <c r="G56" s="222"/>
    </row>
    <row r="57" spans="2:7" ht="17.100000000000001" customHeight="1">
      <c r="B57" s="246" t="s">
        <v>380</v>
      </c>
      <c r="C57" s="416">
        <v>17</v>
      </c>
      <c r="D57" s="416">
        <v>986</v>
      </c>
      <c r="E57" s="416">
        <v>238395</v>
      </c>
      <c r="F57" s="416">
        <f t="shared" si="0"/>
        <v>14023.235294117647</v>
      </c>
      <c r="G57" s="222"/>
    </row>
    <row r="58" spans="2:7" ht="17.100000000000001" customHeight="1">
      <c r="B58" s="246" t="s">
        <v>381</v>
      </c>
      <c r="C58" s="416">
        <v>11</v>
      </c>
      <c r="D58" s="416">
        <v>407</v>
      </c>
      <c r="E58" s="416">
        <v>61830</v>
      </c>
      <c r="F58" s="416">
        <f t="shared" si="0"/>
        <v>5620.909090909091</v>
      </c>
      <c r="G58" s="222"/>
    </row>
    <row r="59" spans="2:7" ht="17.100000000000001" customHeight="1">
      <c r="B59" s="246" t="s">
        <v>382</v>
      </c>
      <c r="C59" s="416">
        <v>7</v>
      </c>
      <c r="D59" s="416">
        <v>629</v>
      </c>
      <c r="E59" s="416">
        <v>119153</v>
      </c>
      <c r="F59" s="416">
        <f t="shared" si="0"/>
        <v>17021.857142857141</v>
      </c>
      <c r="G59" s="222"/>
    </row>
    <row r="60" spans="2:7" ht="17.100000000000001" customHeight="1">
      <c r="B60" s="246" t="s">
        <v>383</v>
      </c>
      <c r="C60" s="416">
        <v>7</v>
      </c>
      <c r="D60" s="416">
        <v>774</v>
      </c>
      <c r="E60" s="416">
        <v>205100</v>
      </c>
      <c r="F60" s="416">
        <f t="shared" si="0"/>
        <v>29300</v>
      </c>
      <c r="G60" s="222"/>
    </row>
    <row r="61" spans="2:7" ht="17.100000000000001" customHeight="1">
      <c r="B61" s="246" t="s">
        <v>384</v>
      </c>
      <c r="C61" s="416">
        <v>7</v>
      </c>
      <c r="D61" s="416">
        <v>469</v>
      </c>
      <c r="E61" s="416">
        <v>103152</v>
      </c>
      <c r="F61" s="416">
        <f t="shared" si="0"/>
        <v>14736</v>
      </c>
      <c r="G61" s="222"/>
    </row>
    <row r="62" spans="2:7" ht="17.100000000000001" customHeight="1">
      <c r="B62" s="246" t="s">
        <v>385</v>
      </c>
      <c r="C62" s="416">
        <v>5</v>
      </c>
      <c r="D62" s="416">
        <v>405</v>
      </c>
      <c r="E62" s="416">
        <v>65690</v>
      </c>
      <c r="F62" s="416">
        <f t="shared" si="0"/>
        <v>13138</v>
      </c>
      <c r="G62" s="222"/>
    </row>
    <row r="63" spans="2:7" ht="17.100000000000001" customHeight="1">
      <c r="B63" s="246" t="s">
        <v>386</v>
      </c>
      <c r="C63" s="416">
        <v>8</v>
      </c>
      <c r="D63" s="416">
        <v>552</v>
      </c>
      <c r="E63" s="416">
        <v>102405</v>
      </c>
      <c r="F63" s="416">
        <f t="shared" si="0"/>
        <v>12800.625</v>
      </c>
      <c r="G63" s="222"/>
    </row>
    <row r="64" spans="2:7" ht="17.100000000000001" customHeight="1">
      <c r="B64" s="246" t="s">
        <v>387</v>
      </c>
      <c r="C64" s="416">
        <v>17</v>
      </c>
      <c r="D64" s="416">
        <v>937</v>
      </c>
      <c r="E64" s="416">
        <v>196822</v>
      </c>
      <c r="F64" s="416">
        <f t="shared" si="0"/>
        <v>11577.764705882353</v>
      </c>
      <c r="G64" s="222"/>
    </row>
    <row r="65" spans="2:7" ht="17.100000000000001" customHeight="1">
      <c r="B65" s="246" t="s">
        <v>388</v>
      </c>
      <c r="C65" s="416">
        <v>9</v>
      </c>
      <c r="D65" s="416">
        <v>292</v>
      </c>
      <c r="E65" s="416">
        <v>34855</v>
      </c>
      <c r="F65" s="416">
        <f t="shared" si="0"/>
        <v>3872.7777777777778</v>
      </c>
      <c r="G65" s="222"/>
    </row>
    <row r="66" spans="2:7" ht="17.100000000000001" customHeight="1">
      <c r="B66" s="246" t="s">
        <v>389</v>
      </c>
      <c r="C66" s="416">
        <v>7</v>
      </c>
      <c r="D66" s="416">
        <v>415</v>
      </c>
      <c r="E66" s="416">
        <v>101217</v>
      </c>
      <c r="F66" s="416">
        <f t="shared" si="0"/>
        <v>14459.571428571429</v>
      </c>
      <c r="G66" s="222"/>
    </row>
    <row r="67" spans="2:7" ht="17.100000000000001" customHeight="1">
      <c r="B67" s="246" t="s">
        <v>390</v>
      </c>
      <c r="C67" s="416">
        <v>5</v>
      </c>
      <c r="D67" s="416">
        <v>81</v>
      </c>
      <c r="E67" s="416">
        <v>6625</v>
      </c>
      <c r="F67" s="416">
        <f t="shared" si="0"/>
        <v>1325</v>
      </c>
      <c r="G67" s="222"/>
    </row>
    <row r="68" spans="2:7" ht="17.100000000000001" customHeight="1">
      <c r="B68" s="246" t="s">
        <v>391</v>
      </c>
      <c r="C68" s="416">
        <v>14</v>
      </c>
      <c r="D68" s="416">
        <v>594</v>
      </c>
      <c r="E68" s="416">
        <v>74636</v>
      </c>
      <c r="F68" s="416">
        <f t="shared" si="0"/>
        <v>5331.1428571428569</v>
      </c>
      <c r="G68" s="222"/>
    </row>
    <row r="69" spans="2:7" ht="17.100000000000001" customHeight="1">
      <c r="B69" s="246" t="s">
        <v>392</v>
      </c>
      <c r="C69" s="416">
        <v>1</v>
      </c>
      <c r="D69" s="416">
        <v>24</v>
      </c>
      <c r="E69" s="416">
        <v>3600</v>
      </c>
      <c r="F69" s="416">
        <f t="shared" si="0"/>
        <v>3600</v>
      </c>
      <c r="G69" s="222"/>
    </row>
    <row r="70" spans="2:7" ht="17.100000000000001" customHeight="1">
      <c r="B70" s="246" t="s">
        <v>393</v>
      </c>
      <c r="C70" s="416">
        <v>36</v>
      </c>
      <c r="D70" s="416">
        <v>2481</v>
      </c>
      <c r="E70" s="416">
        <v>498484</v>
      </c>
      <c r="F70" s="416">
        <f t="shared" si="0"/>
        <v>13846.777777777777</v>
      </c>
      <c r="G70" s="222"/>
    </row>
    <row r="71" spans="2:7" ht="17.100000000000001" customHeight="1">
      <c r="B71" s="246" t="s">
        <v>394</v>
      </c>
      <c r="C71" s="416">
        <v>6</v>
      </c>
      <c r="D71" s="416">
        <v>253</v>
      </c>
      <c r="E71" s="416">
        <v>37259</v>
      </c>
      <c r="F71" s="416">
        <f t="shared" ref="F71:F86" si="1">+E71/C71</f>
        <v>6209.833333333333</v>
      </c>
      <c r="G71" s="222"/>
    </row>
    <row r="72" spans="2:7" ht="17.100000000000001" customHeight="1">
      <c r="B72" s="246" t="s">
        <v>395</v>
      </c>
      <c r="C72" s="416">
        <v>11</v>
      </c>
      <c r="D72" s="416">
        <v>285</v>
      </c>
      <c r="E72" s="416">
        <v>23300</v>
      </c>
      <c r="F72" s="416">
        <f t="shared" si="1"/>
        <v>2118.181818181818</v>
      </c>
      <c r="G72" s="222"/>
    </row>
    <row r="73" spans="2:7" ht="17.100000000000001" customHeight="1">
      <c r="B73" s="246" t="s">
        <v>396</v>
      </c>
      <c r="C73" s="416">
        <v>1</v>
      </c>
      <c r="D73" s="416">
        <v>24</v>
      </c>
      <c r="E73" s="416">
        <v>3500</v>
      </c>
      <c r="F73" s="416">
        <f t="shared" si="1"/>
        <v>3500</v>
      </c>
      <c r="G73" s="222"/>
    </row>
    <row r="74" spans="2:7" ht="17.100000000000001" customHeight="1">
      <c r="B74" s="246" t="s">
        <v>397</v>
      </c>
      <c r="C74" s="416">
        <v>16</v>
      </c>
      <c r="D74" s="416">
        <v>680</v>
      </c>
      <c r="E74" s="416">
        <v>85045</v>
      </c>
      <c r="F74" s="416">
        <f t="shared" si="1"/>
        <v>5315.3125</v>
      </c>
      <c r="G74" s="222"/>
    </row>
    <row r="75" spans="2:7" ht="17.100000000000001" customHeight="1">
      <c r="B75" s="246" t="s">
        <v>398</v>
      </c>
      <c r="C75" s="416">
        <v>1</v>
      </c>
      <c r="D75" s="416">
        <v>37</v>
      </c>
      <c r="E75" s="416">
        <v>6773</v>
      </c>
      <c r="F75" s="416">
        <f t="shared" si="1"/>
        <v>6773</v>
      </c>
      <c r="G75" s="222"/>
    </row>
    <row r="76" spans="2:7" ht="17.100000000000001" customHeight="1">
      <c r="B76" s="246" t="s">
        <v>399</v>
      </c>
      <c r="C76" s="416">
        <v>1</v>
      </c>
      <c r="D76" s="416">
        <v>24</v>
      </c>
      <c r="E76" s="416">
        <v>2300</v>
      </c>
      <c r="F76" s="416">
        <f t="shared" si="1"/>
        <v>2300</v>
      </c>
      <c r="G76" s="222"/>
    </row>
    <row r="77" spans="2:7" ht="17.100000000000001" customHeight="1">
      <c r="B77" s="246" t="s">
        <v>400</v>
      </c>
      <c r="C77" s="416">
        <v>16</v>
      </c>
      <c r="D77" s="416">
        <v>418</v>
      </c>
      <c r="E77" s="416">
        <v>53166</v>
      </c>
      <c r="F77" s="416">
        <f t="shared" si="1"/>
        <v>3322.875</v>
      </c>
      <c r="G77" s="222"/>
    </row>
    <row r="78" spans="2:7" ht="17.100000000000001" customHeight="1">
      <c r="B78" s="246" t="s">
        <v>401</v>
      </c>
      <c r="C78" s="416">
        <v>2</v>
      </c>
      <c r="D78" s="416">
        <v>274</v>
      </c>
      <c r="E78" s="416">
        <v>55681</v>
      </c>
      <c r="F78" s="416">
        <f t="shared" si="1"/>
        <v>27840.5</v>
      </c>
      <c r="G78" s="222"/>
    </row>
    <row r="79" spans="2:7" ht="17.100000000000001" customHeight="1">
      <c r="B79" s="246" t="s">
        <v>402</v>
      </c>
      <c r="C79" s="416">
        <v>12</v>
      </c>
      <c r="D79" s="416">
        <v>318</v>
      </c>
      <c r="E79" s="416">
        <v>37242</v>
      </c>
      <c r="F79" s="416">
        <f t="shared" si="1"/>
        <v>3103.5</v>
      </c>
      <c r="G79" s="222"/>
    </row>
    <row r="80" spans="2:7" ht="17.100000000000001" customHeight="1">
      <c r="B80" s="246" t="s">
        <v>403</v>
      </c>
      <c r="C80" s="416">
        <v>14</v>
      </c>
      <c r="D80" s="416">
        <v>743</v>
      </c>
      <c r="E80" s="416">
        <v>154467</v>
      </c>
      <c r="F80" s="416">
        <f t="shared" si="1"/>
        <v>11033.357142857143</v>
      </c>
      <c r="G80" s="222"/>
    </row>
    <row r="81" spans="1:12" ht="17.100000000000001" customHeight="1">
      <c r="B81" s="246" t="s">
        <v>404</v>
      </c>
      <c r="C81" s="416">
        <v>15</v>
      </c>
      <c r="D81" s="416">
        <v>1257</v>
      </c>
      <c r="E81" s="416">
        <v>262367</v>
      </c>
      <c r="F81" s="416">
        <f t="shared" si="1"/>
        <v>17491.133333333335</v>
      </c>
      <c r="G81" s="222"/>
    </row>
    <row r="82" spans="1:12" ht="17.100000000000001" customHeight="1">
      <c r="B82" s="246" t="s">
        <v>405</v>
      </c>
      <c r="C82" s="416">
        <v>19</v>
      </c>
      <c r="D82" s="416">
        <v>751</v>
      </c>
      <c r="E82" s="416">
        <v>106826</v>
      </c>
      <c r="F82" s="416">
        <f t="shared" si="1"/>
        <v>5622.4210526315792</v>
      </c>
      <c r="G82" s="222"/>
    </row>
    <row r="83" spans="1:12" ht="17.100000000000001" customHeight="1">
      <c r="B83" s="246" t="s">
        <v>406</v>
      </c>
      <c r="C83" s="416">
        <v>2</v>
      </c>
      <c r="D83" s="416">
        <v>102</v>
      </c>
      <c r="E83" s="416">
        <v>8400</v>
      </c>
      <c r="F83" s="416">
        <f t="shared" si="1"/>
        <v>4200</v>
      </c>
      <c r="G83" s="222"/>
    </row>
    <row r="84" spans="1:12" ht="17.100000000000001" customHeight="1">
      <c r="B84" s="246" t="s">
        <v>407</v>
      </c>
      <c r="C84" s="416">
        <v>2</v>
      </c>
      <c r="D84" s="416">
        <v>70</v>
      </c>
      <c r="E84" s="416">
        <v>21423</v>
      </c>
      <c r="F84" s="416">
        <f t="shared" si="1"/>
        <v>10711.5</v>
      </c>
      <c r="G84" s="222"/>
    </row>
    <row r="85" spans="1:12" ht="17.100000000000001" customHeight="1">
      <c r="B85" s="246" t="s">
        <v>408</v>
      </c>
      <c r="C85" s="416">
        <v>10</v>
      </c>
      <c r="D85" s="416">
        <v>348</v>
      </c>
      <c r="E85" s="416">
        <v>60116</v>
      </c>
      <c r="F85" s="416">
        <f t="shared" si="1"/>
        <v>6011.6</v>
      </c>
      <c r="G85" s="222"/>
    </row>
    <row r="86" spans="1:12" ht="17.100000000000001" customHeight="1">
      <c r="B86" s="246" t="s">
        <v>409</v>
      </c>
      <c r="C86" s="416">
        <v>8</v>
      </c>
      <c r="D86" s="416">
        <v>373</v>
      </c>
      <c r="E86" s="416">
        <v>56640</v>
      </c>
      <c r="F86" s="416">
        <f t="shared" si="1"/>
        <v>7080</v>
      </c>
      <c r="G86" s="222"/>
    </row>
    <row r="87" spans="1:12" ht="17.100000000000001" customHeight="1" thickBot="1">
      <c r="B87" s="275"/>
      <c r="C87" s="243"/>
      <c r="D87" s="243"/>
      <c r="E87" s="243"/>
      <c r="F87" s="243"/>
    </row>
    <row r="88" spans="1:12" ht="16.5" customHeight="1" thickTop="1" thickBot="1">
      <c r="B88" s="488" t="s">
        <v>648</v>
      </c>
      <c r="C88" s="489"/>
      <c r="D88" s="489"/>
      <c r="E88" s="489"/>
      <c r="F88" s="489"/>
    </row>
    <row r="89" spans="1:12" ht="15.75" thickTop="1">
      <c r="A89" s="25"/>
      <c r="B89" s="25"/>
      <c r="C89" s="220"/>
      <c r="D89" s="220"/>
      <c r="E89" s="220"/>
      <c r="F89" s="220"/>
      <c r="G89" s="25"/>
      <c r="H89" s="25"/>
      <c r="I89" s="25"/>
      <c r="J89" s="25"/>
      <c r="K89" s="25"/>
      <c r="L89" s="219"/>
    </row>
    <row r="90" spans="1:12" ht="15">
      <c r="B90" s="25"/>
      <c r="C90" s="220"/>
      <c r="D90" s="220"/>
      <c r="E90" s="220"/>
      <c r="F90" s="220"/>
    </row>
    <row r="91" spans="1:12" ht="15">
      <c r="B91" s="25"/>
      <c r="C91" s="235"/>
      <c r="D91" s="235"/>
      <c r="E91" s="235"/>
      <c r="F91" s="25"/>
    </row>
    <row r="92" spans="1:12" s="219" customFormat="1">
      <c r="A92" s="22"/>
      <c r="L92" s="22"/>
    </row>
    <row r="93" spans="1:12" s="219" customFormat="1">
      <c r="A93" s="22"/>
      <c r="L93" s="22"/>
    </row>
    <row r="94" spans="1:12" s="219" customFormat="1">
      <c r="A94" s="22"/>
      <c r="L94" s="22"/>
    </row>
    <row r="95" spans="1:12" s="219" customFormat="1">
      <c r="A95" s="22"/>
      <c r="L95" s="22"/>
    </row>
    <row r="96" spans="1:12" s="219" customFormat="1">
      <c r="A96" s="22"/>
      <c r="L96" s="22"/>
    </row>
    <row r="97" spans="1:12" s="219" customFormat="1">
      <c r="A97" s="22"/>
      <c r="L97" s="22"/>
    </row>
    <row r="98" spans="1:12" s="219" customFormat="1">
      <c r="A98" s="22"/>
      <c r="L98" s="22"/>
    </row>
    <row r="99" spans="1:12" s="219" customFormat="1">
      <c r="A99" s="22"/>
      <c r="L99" s="22"/>
    </row>
    <row r="100" spans="1:12" s="219" customFormat="1">
      <c r="A100" s="22"/>
      <c r="L100" s="22"/>
    </row>
    <row r="101" spans="1:12" s="219" customFormat="1">
      <c r="A101" s="22"/>
      <c r="L101" s="22"/>
    </row>
    <row r="102" spans="1:12" s="219" customFormat="1">
      <c r="A102" s="22"/>
      <c r="L102" s="22"/>
    </row>
    <row r="103" spans="1:12" s="219" customFormat="1">
      <c r="A103" s="22"/>
      <c r="L103" s="22"/>
    </row>
    <row r="104" spans="1:12" s="219" customFormat="1">
      <c r="A104" s="22"/>
      <c r="L104" s="22"/>
    </row>
    <row r="125" spans="1:12" s="219" customFormat="1" ht="15">
      <c r="A125" s="22"/>
      <c r="B125" s="221"/>
      <c r="L125" s="22"/>
    </row>
  </sheetData>
  <mergeCells count="3">
    <mergeCell ref="B2:F2"/>
    <mergeCell ref="B3:F3"/>
    <mergeCell ref="B88:F88"/>
  </mergeCells>
  <hyperlinks>
    <hyperlink ref="B3:F3" location="'Capitulo 2'!B21" display="Número de obras de ampliación residencial (viviendas y apartamentos), área (m2), valor (en miles de colones) y valor promedio por obra (en miles de colones), según cantón. 2018." xr:uid="{00000000-0004-0000-0A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ignoredErrors>
    <ignoredError sqref="F5:F20 F22:F86" evalError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25"/>
  <sheetViews>
    <sheetView showGridLines="0" zoomScaleNormal="100" workbookViewId="0">
      <pane ySplit="4" topLeftCell="A5" activePane="bottomLeft" state="frozen"/>
      <selection pane="bottomLeft" activeCell="G7" sqref="G7:I11"/>
    </sheetView>
  </sheetViews>
  <sheetFormatPr baseColWidth="10" defaultRowHeight="14.25"/>
  <cols>
    <col min="1" max="1" width="11.42578125" style="22" customWidth="1"/>
    <col min="2" max="2" width="28.28515625" style="219" customWidth="1"/>
    <col min="3" max="3" width="23.5703125" style="219" customWidth="1"/>
    <col min="4" max="4" width="23" style="219" customWidth="1"/>
    <col min="5" max="5" width="20" style="219" customWidth="1"/>
    <col min="6" max="10" width="11.42578125" style="219" customWidth="1"/>
    <col min="11" max="16384" width="11.42578125" style="22"/>
  </cols>
  <sheetData>
    <row r="1" spans="2:7" ht="15.75">
      <c r="B1" s="218"/>
      <c r="C1" s="218"/>
      <c r="D1" s="218"/>
      <c r="E1" s="25"/>
    </row>
    <row r="2" spans="2:7" ht="15.75" customHeight="1">
      <c r="B2" s="490" t="s">
        <v>13</v>
      </c>
      <c r="C2" s="490"/>
      <c r="D2" s="490"/>
      <c r="E2" s="490"/>
    </row>
    <row r="3" spans="2:7" ht="34.5" customHeight="1" thickBot="1">
      <c r="B3" s="464" t="s">
        <v>702</v>
      </c>
      <c r="C3" s="464"/>
      <c r="D3" s="464"/>
      <c r="E3" s="464"/>
    </row>
    <row r="4" spans="2:7" ht="45" customHeight="1" thickTop="1" thickBot="1">
      <c r="B4" s="312" t="s">
        <v>15</v>
      </c>
      <c r="C4" s="312" t="s">
        <v>98</v>
      </c>
      <c r="D4" s="312" t="s">
        <v>95</v>
      </c>
      <c r="E4" s="312" t="s">
        <v>541</v>
      </c>
    </row>
    <row r="5" spans="2:7" ht="17.100000000000001" customHeight="1" thickTop="1" thickBot="1">
      <c r="B5" s="244" t="s">
        <v>103</v>
      </c>
      <c r="C5" s="417">
        <f>SUM(C6:C86)</f>
        <v>1391</v>
      </c>
      <c r="D5" s="417">
        <f>SUM(D6:D86)</f>
        <v>8663554</v>
      </c>
      <c r="E5" s="417">
        <f>+D5/C5</f>
        <v>6228.2918763479511</v>
      </c>
      <c r="F5" s="222"/>
      <c r="G5" s="222"/>
    </row>
    <row r="6" spans="2:7" ht="17.100000000000001" customHeight="1" thickTop="1" thickBot="1">
      <c r="B6" s="244" t="s">
        <v>348</v>
      </c>
      <c r="C6" s="417">
        <v>57</v>
      </c>
      <c r="D6" s="417">
        <v>577296</v>
      </c>
      <c r="E6" s="417">
        <f t="shared" ref="E6:E69" si="0">+D6/C6</f>
        <v>10128</v>
      </c>
      <c r="F6" s="222"/>
      <c r="G6" s="222"/>
    </row>
    <row r="7" spans="2:7" ht="17.100000000000001" customHeight="1" thickTop="1" thickBot="1">
      <c r="B7" s="244" t="s">
        <v>349</v>
      </c>
      <c r="C7" s="417">
        <v>7</v>
      </c>
      <c r="D7" s="417">
        <v>336147</v>
      </c>
      <c r="E7" s="417">
        <f t="shared" si="0"/>
        <v>48021</v>
      </c>
      <c r="F7" s="222"/>
      <c r="G7" s="222"/>
    </row>
    <row r="8" spans="2:7" ht="17.100000000000001" customHeight="1" thickTop="1" thickBot="1">
      <c r="B8" s="244" t="s">
        <v>350</v>
      </c>
      <c r="C8" s="417">
        <v>57</v>
      </c>
      <c r="D8" s="417">
        <v>322973</v>
      </c>
      <c r="E8" s="417">
        <f t="shared" si="0"/>
        <v>5666.1929824561403</v>
      </c>
      <c r="F8" s="222"/>
      <c r="G8" s="222"/>
    </row>
    <row r="9" spans="2:7" ht="17.100000000000001" customHeight="1" thickTop="1" thickBot="1">
      <c r="B9" s="244" t="s">
        <v>208</v>
      </c>
      <c r="C9" s="417">
        <v>5</v>
      </c>
      <c r="D9" s="417">
        <v>50197</v>
      </c>
      <c r="E9" s="417">
        <f t="shared" si="0"/>
        <v>10039.4</v>
      </c>
      <c r="F9" s="222"/>
      <c r="G9" s="222"/>
    </row>
    <row r="10" spans="2:7" ht="17.100000000000001" customHeight="1" thickTop="1" thickBot="1">
      <c r="B10" s="244" t="s">
        <v>209</v>
      </c>
      <c r="C10" s="417">
        <v>1</v>
      </c>
      <c r="D10" s="417">
        <v>17960</v>
      </c>
      <c r="E10" s="417">
        <f t="shared" si="0"/>
        <v>17960</v>
      </c>
      <c r="F10" s="222"/>
      <c r="G10" s="222"/>
    </row>
    <row r="11" spans="2:7" ht="17.100000000000001" customHeight="1" thickTop="1" thickBot="1">
      <c r="B11" s="244" t="s">
        <v>351</v>
      </c>
      <c r="C11" s="417">
        <v>6</v>
      </c>
      <c r="D11" s="417">
        <v>18559</v>
      </c>
      <c r="E11" s="417">
        <f t="shared" si="0"/>
        <v>3093.1666666666665</v>
      </c>
      <c r="F11" s="222"/>
      <c r="G11" s="222"/>
    </row>
    <row r="12" spans="2:7" ht="17.100000000000001" customHeight="1" thickTop="1" thickBot="1">
      <c r="B12" s="244" t="s">
        <v>352</v>
      </c>
      <c r="C12" s="417">
        <v>13</v>
      </c>
      <c r="D12" s="417">
        <v>57002</v>
      </c>
      <c r="E12" s="417">
        <f t="shared" si="0"/>
        <v>4384.7692307692305</v>
      </c>
      <c r="F12" s="222"/>
      <c r="G12" s="222"/>
    </row>
    <row r="13" spans="2:7" ht="17.100000000000001" customHeight="1" thickTop="1" thickBot="1">
      <c r="B13" s="244" t="s">
        <v>353</v>
      </c>
      <c r="C13" s="417">
        <v>38</v>
      </c>
      <c r="D13" s="417">
        <v>171182</v>
      </c>
      <c r="E13" s="417">
        <f t="shared" si="0"/>
        <v>4504.7894736842109</v>
      </c>
      <c r="F13" s="222"/>
      <c r="G13" s="222"/>
    </row>
    <row r="14" spans="2:7" ht="17.100000000000001" customHeight="1" thickTop="1" thickBot="1">
      <c r="B14" s="244" t="s">
        <v>354</v>
      </c>
      <c r="C14" s="417">
        <v>6</v>
      </c>
      <c r="D14" s="417">
        <v>33926</v>
      </c>
      <c r="E14" s="417">
        <f t="shared" si="0"/>
        <v>5654.333333333333</v>
      </c>
      <c r="F14" s="222"/>
      <c r="G14" s="222"/>
    </row>
    <row r="15" spans="2:7" ht="17.100000000000001" customHeight="1" thickTop="1" thickBot="1">
      <c r="B15" s="244" t="s">
        <v>355</v>
      </c>
      <c r="C15" s="417">
        <v>6</v>
      </c>
      <c r="D15" s="417">
        <v>38305</v>
      </c>
      <c r="E15" s="417">
        <f t="shared" si="0"/>
        <v>6384.166666666667</v>
      </c>
      <c r="F15" s="222"/>
      <c r="G15" s="222"/>
    </row>
    <row r="16" spans="2:7" ht="17.100000000000001" customHeight="1" thickTop="1" thickBot="1">
      <c r="B16" s="244" t="s">
        <v>430</v>
      </c>
      <c r="C16" s="417">
        <v>33</v>
      </c>
      <c r="D16" s="417">
        <v>76359</v>
      </c>
      <c r="E16" s="417">
        <f t="shared" si="0"/>
        <v>2313.909090909091</v>
      </c>
      <c r="F16" s="222"/>
      <c r="G16" s="222"/>
    </row>
    <row r="17" spans="2:7" ht="17.100000000000001" customHeight="1" thickTop="1" thickBot="1">
      <c r="B17" s="244" t="s">
        <v>356</v>
      </c>
      <c r="C17" s="417">
        <v>14</v>
      </c>
      <c r="D17" s="417">
        <v>41734</v>
      </c>
      <c r="E17" s="417">
        <f t="shared" si="0"/>
        <v>2981</v>
      </c>
      <c r="F17" s="222"/>
      <c r="G17" s="222"/>
    </row>
    <row r="18" spans="2:7" ht="17.100000000000001" customHeight="1" thickTop="1" thickBot="1">
      <c r="B18" s="244" t="s">
        <v>357</v>
      </c>
      <c r="C18" s="417">
        <v>65</v>
      </c>
      <c r="D18" s="417">
        <v>351802</v>
      </c>
      <c r="E18" s="417">
        <f t="shared" si="0"/>
        <v>5412.3384615384612</v>
      </c>
      <c r="F18" s="222"/>
      <c r="G18" s="222"/>
    </row>
    <row r="19" spans="2:7" ht="17.100000000000001" customHeight="1" thickTop="1" thickBot="1">
      <c r="B19" s="244" t="s">
        <v>358</v>
      </c>
      <c r="C19" s="417">
        <v>21</v>
      </c>
      <c r="D19" s="417">
        <v>112449</v>
      </c>
      <c r="E19" s="417">
        <f>+D19/C19</f>
        <v>5354.7142857142853</v>
      </c>
      <c r="F19" s="222"/>
      <c r="G19" s="222"/>
    </row>
    <row r="20" spans="2:7" ht="17.100000000000001" customHeight="1" thickTop="1" thickBot="1">
      <c r="B20" s="244" t="s">
        <v>359</v>
      </c>
      <c r="C20" s="417">
        <v>37</v>
      </c>
      <c r="D20" s="417">
        <v>84674</v>
      </c>
      <c r="E20" s="417">
        <f t="shared" si="0"/>
        <v>2288.4864864864867</v>
      </c>
      <c r="F20" s="222"/>
      <c r="G20" s="222"/>
    </row>
    <row r="21" spans="2:7" ht="17.100000000000001" customHeight="1" thickTop="1" thickBot="1">
      <c r="B21" s="244" t="s">
        <v>219</v>
      </c>
      <c r="C21" s="417">
        <v>0</v>
      </c>
      <c r="D21" s="417">
        <v>0</v>
      </c>
      <c r="E21" s="417" t="s">
        <v>156</v>
      </c>
      <c r="F21" s="222"/>
      <c r="G21" s="222"/>
    </row>
    <row r="22" spans="2:7" ht="17.100000000000001" customHeight="1" thickTop="1" thickBot="1">
      <c r="B22" s="244" t="s">
        <v>220</v>
      </c>
      <c r="C22" s="417">
        <v>7</v>
      </c>
      <c r="D22" s="417">
        <v>45050</v>
      </c>
      <c r="E22" s="417">
        <f t="shared" si="0"/>
        <v>6435.7142857142853</v>
      </c>
      <c r="F22" s="222"/>
      <c r="G22" s="222"/>
    </row>
    <row r="23" spans="2:7" ht="17.100000000000001" customHeight="1" thickTop="1" thickBot="1">
      <c r="B23" s="244" t="s">
        <v>360</v>
      </c>
      <c r="C23" s="417">
        <v>7</v>
      </c>
      <c r="D23" s="417">
        <v>162596</v>
      </c>
      <c r="E23" s="417">
        <f t="shared" si="0"/>
        <v>23228</v>
      </c>
      <c r="F23" s="222"/>
      <c r="G23" s="222"/>
    </row>
    <row r="24" spans="2:7" ht="17.100000000000001" customHeight="1" thickTop="1" thickBot="1">
      <c r="B24" s="244" t="s">
        <v>222</v>
      </c>
      <c r="C24" s="417">
        <v>46</v>
      </c>
      <c r="D24" s="417">
        <v>274025</v>
      </c>
      <c r="E24" s="417">
        <f t="shared" si="0"/>
        <v>5957.065217391304</v>
      </c>
      <c r="F24" s="222"/>
      <c r="G24" s="222"/>
    </row>
    <row r="25" spans="2:7" ht="17.100000000000001" customHeight="1" thickTop="1" thickBot="1">
      <c r="B25" s="244" t="s">
        <v>223</v>
      </c>
      <c r="C25" s="417">
        <v>5</v>
      </c>
      <c r="D25" s="417">
        <v>38800</v>
      </c>
      <c r="E25" s="417">
        <f t="shared" si="0"/>
        <v>7760</v>
      </c>
      <c r="F25" s="222"/>
      <c r="G25" s="222"/>
    </row>
    <row r="26" spans="2:7" ht="17.100000000000001" customHeight="1" thickTop="1" thickBot="1">
      <c r="B26" s="244" t="s">
        <v>361</v>
      </c>
      <c r="C26" s="417">
        <v>21</v>
      </c>
      <c r="D26" s="417">
        <v>275066</v>
      </c>
      <c r="E26" s="417">
        <f>+D26/C26</f>
        <v>13098.380952380952</v>
      </c>
      <c r="F26" s="222"/>
      <c r="G26" s="222"/>
    </row>
    <row r="27" spans="2:7" ht="17.100000000000001" customHeight="1" thickTop="1" thickBot="1">
      <c r="B27" s="244" t="s">
        <v>225</v>
      </c>
      <c r="C27" s="417">
        <v>10</v>
      </c>
      <c r="D27" s="417">
        <v>73116</v>
      </c>
      <c r="E27" s="417">
        <f t="shared" si="0"/>
        <v>7311.6</v>
      </c>
      <c r="F27" s="222"/>
      <c r="G27" s="222"/>
    </row>
    <row r="28" spans="2:7" ht="17.100000000000001" customHeight="1" thickTop="1" thickBot="1">
      <c r="B28" s="244" t="s">
        <v>226</v>
      </c>
      <c r="C28" s="417">
        <v>35</v>
      </c>
      <c r="D28" s="417">
        <v>192503</v>
      </c>
      <c r="E28" s="417">
        <f t="shared" si="0"/>
        <v>5500.0857142857139</v>
      </c>
      <c r="F28" s="222"/>
      <c r="G28" s="222"/>
    </row>
    <row r="29" spans="2:7" ht="17.100000000000001" customHeight="1" thickTop="1" thickBot="1">
      <c r="B29" s="244" t="s">
        <v>227</v>
      </c>
      <c r="C29" s="417">
        <v>7</v>
      </c>
      <c r="D29" s="417">
        <v>51963</v>
      </c>
      <c r="E29" s="417">
        <f t="shared" si="0"/>
        <v>7423.2857142857147</v>
      </c>
      <c r="F29" s="222"/>
      <c r="G29" s="222"/>
    </row>
    <row r="30" spans="2:7" ht="17.100000000000001" customHeight="1" thickTop="1" thickBot="1">
      <c r="B30" s="244" t="s">
        <v>362</v>
      </c>
      <c r="C30" s="417">
        <v>2</v>
      </c>
      <c r="D30" s="417">
        <v>23248</v>
      </c>
      <c r="E30" s="417">
        <f t="shared" si="0"/>
        <v>11624</v>
      </c>
      <c r="F30" s="222"/>
      <c r="G30" s="222"/>
    </row>
    <row r="31" spans="2:7" ht="17.100000000000001" customHeight="1" thickTop="1" thickBot="1">
      <c r="B31" s="244" t="s">
        <v>229</v>
      </c>
      <c r="C31" s="417">
        <v>12</v>
      </c>
      <c r="D31" s="417">
        <v>82215</v>
      </c>
      <c r="E31" s="417">
        <f t="shared" si="0"/>
        <v>6851.25</v>
      </c>
      <c r="F31" s="222"/>
      <c r="G31" s="222"/>
    </row>
    <row r="32" spans="2:7" ht="17.100000000000001" customHeight="1" thickTop="1" thickBot="1">
      <c r="B32" s="244" t="s">
        <v>230</v>
      </c>
      <c r="C32" s="417">
        <v>22</v>
      </c>
      <c r="D32" s="417">
        <v>89203</v>
      </c>
      <c r="E32" s="417">
        <f t="shared" si="0"/>
        <v>4054.681818181818</v>
      </c>
      <c r="F32" s="222"/>
      <c r="G32" s="222"/>
    </row>
    <row r="33" spans="2:7" ht="17.100000000000001" customHeight="1" thickTop="1" thickBot="1">
      <c r="B33" s="244" t="s">
        <v>363</v>
      </c>
      <c r="C33" s="417">
        <v>14</v>
      </c>
      <c r="D33" s="417">
        <v>58371</v>
      </c>
      <c r="E33" s="417">
        <f t="shared" si="0"/>
        <v>4169.3571428571431</v>
      </c>
      <c r="F33" s="222"/>
      <c r="G33" s="222"/>
    </row>
    <row r="34" spans="2:7" ht="17.100000000000001" customHeight="1" thickTop="1" thickBot="1">
      <c r="B34" s="244" t="s">
        <v>232</v>
      </c>
      <c r="C34" s="417">
        <v>2</v>
      </c>
      <c r="D34" s="417">
        <v>10410</v>
      </c>
      <c r="E34" s="417">
        <f t="shared" si="0"/>
        <v>5205</v>
      </c>
      <c r="F34" s="222"/>
      <c r="G34" s="222"/>
    </row>
    <row r="35" spans="2:7" ht="17.100000000000001" customHeight="1" thickTop="1" thickBot="1">
      <c r="B35" s="244" t="s">
        <v>233</v>
      </c>
      <c r="C35" s="417">
        <v>19</v>
      </c>
      <c r="D35" s="417">
        <v>130335</v>
      </c>
      <c r="E35" s="417">
        <f t="shared" si="0"/>
        <v>6859.7368421052633</v>
      </c>
      <c r="F35" s="222"/>
      <c r="G35" s="222"/>
    </row>
    <row r="36" spans="2:7" ht="17.100000000000001" customHeight="1" thickTop="1" thickBot="1">
      <c r="B36" s="244" t="s">
        <v>234</v>
      </c>
      <c r="C36" s="417">
        <v>4</v>
      </c>
      <c r="D36" s="417">
        <v>16438</v>
      </c>
      <c r="E36" s="417">
        <f t="shared" si="0"/>
        <v>4109.5</v>
      </c>
      <c r="F36" s="222"/>
      <c r="G36" s="222"/>
    </row>
    <row r="37" spans="2:7" ht="17.100000000000001" customHeight="1" thickTop="1" thickBot="1">
      <c r="B37" s="244" t="s">
        <v>235</v>
      </c>
      <c r="C37" s="417">
        <v>8</v>
      </c>
      <c r="D37" s="417">
        <v>40900</v>
      </c>
      <c r="E37" s="417">
        <f t="shared" si="0"/>
        <v>5112.5</v>
      </c>
      <c r="F37" s="222"/>
      <c r="G37" s="222"/>
    </row>
    <row r="38" spans="2:7" ht="17.100000000000001" customHeight="1" thickTop="1" thickBot="1">
      <c r="B38" s="244" t="s">
        <v>236</v>
      </c>
      <c r="C38" s="417">
        <v>13</v>
      </c>
      <c r="D38" s="417">
        <v>56218</v>
      </c>
      <c r="E38" s="417">
        <f t="shared" si="0"/>
        <v>4324.4615384615381</v>
      </c>
      <c r="F38" s="222"/>
      <c r="G38" s="222"/>
    </row>
    <row r="39" spans="2:7" ht="17.100000000000001" customHeight="1" thickTop="1" thickBot="1">
      <c r="B39" s="244" t="s">
        <v>237</v>
      </c>
      <c r="C39" s="417">
        <v>7</v>
      </c>
      <c r="D39" s="417">
        <v>16309</v>
      </c>
      <c r="E39" s="417">
        <f t="shared" si="0"/>
        <v>2329.8571428571427</v>
      </c>
      <c r="F39" s="222"/>
      <c r="G39" s="222"/>
    </row>
    <row r="40" spans="2:7" ht="17.100000000000001" customHeight="1" thickTop="1" thickBot="1">
      <c r="B40" s="244" t="s">
        <v>238</v>
      </c>
      <c r="C40" s="417">
        <v>1</v>
      </c>
      <c r="D40" s="417">
        <v>20332</v>
      </c>
      <c r="E40" s="417">
        <f t="shared" si="0"/>
        <v>20332</v>
      </c>
      <c r="F40" s="222"/>
      <c r="G40" s="222"/>
    </row>
    <row r="41" spans="2:7" ht="17.100000000000001" customHeight="1" thickTop="1" thickBot="1">
      <c r="B41" s="244" t="s">
        <v>364</v>
      </c>
      <c r="C41" s="417">
        <v>40</v>
      </c>
      <c r="D41" s="417">
        <v>283503</v>
      </c>
      <c r="E41" s="417">
        <f t="shared" si="0"/>
        <v>7087.5749999999998</v>
      </c>
      <c r="F41" s="222"/>
      <c r="G41" s="222"/>
    </row>
    <row r="42" spans="2:7" ht="17.100000000000001" customHeight="1" thickTop="1" thickBot="1">
      <c r="B42" s="244" t="s">
        <v>365</v>
      </c>
      <c r="C42" s="417">
        <v>23</v>
      </c>
      <c r="D42" s="417">
        <v>156453</v>
      </c>
      <c r="E42" s="417">
        <f t="shared" si="0"/>
        <v>6802.304347826087</v>
      </c>
      <c r="F42" s="222"/>
      <c r="G42" s="222"/>
    </row>
    <row r="43" spans="2:7" ht="17.100000000000001" customHeight="1" thickTop="1" thickBot="1">
      <c r="B43" s="244" t="s">
        <v>366</v>
      </c>
      <c r="C43" s="417">
        <v>16</v>
      </c>
      <c r="D43" s="417">
        <v>341410</v>
      </c>
      <c r="E43" s="417">
        <f t="shared" si="0"/>
        <v>21338.125</v>
      </c>
      <c r="F43" s="222"/>
      <c r="G43" s="222"/>
    </row>
    <row r="44" spans="2:7" ht="17.100000000000001" customHeight="1" thickTop="1" thickBot="1">
      <c r="B44" s="244" t="s">
        <v>367</v>
      </c>
      <c r="C44" s="417">
        <v>3</v>
      </c>
      <c r="D44" s="417">
        <v>19277</v>
      </c>
      <c r="E44" s="417">
        <f t="shared" si="0"/>
        <v>6425.666666666667</v>
      </c>
      <c r="F44" s="222"/>
      <c r="G44" s="222"/>
    </row>
    <row r="45" spans="2:7" ht="17.100000000000001" customHeight="1" thickTop="1" thickBot="1">
      <c r="B45" s="244" t="s">
        <v>368</v>
      </c>
      <c r="C45" s="417">
        <v>29</v>
      </c>
      <c r="D45" s="417">
        <v>145868</v>
      </c>
      <c r="E45" s="417">
        <f t="shared" si="0"/>
        <v>5029.9310344827591</v>
      </c>
      <c r="F45" s="222"/>
      <c r="G45" s="222"/>
    </row>
    <row r="46" spans="2:7" ht="17.100000000000001" customHeight="1" thickTop="1" thickBot="1">
      <c r="B46" s="244" t="s">
        <v>369</v>
      </c>
      <c r="C46" s="417">
        <v>6</v>
      </c>
      <c r="D46" s="417">
        <v>34131</v>
      </c>
      <c r="E46" s="417">
        <f t="shared" si="0"/>
        <v>5688.5</v>
      </c>
      <c r="F46" s="222"/>
      <c r="G46" s="222"/>
    </row>
    <row r="47" spans="2:7" ht="17.100000000000001" customHeight="1" thickTop="1" thickBot="1">
      <c r="B47" s="244" t="s">
        <v>370</v>
      </c>
      <c r="C47" s="417">
        <v>17</v>
      </c>
      <c r="D47" s="417">
        <v>69608</v>
      </c>
      <c r="E47" s="417">
        <f t="shared" si="0"/>
        <v>4094.5882352941176</v>
      </c>
      <c r="F47" s="222"/>
      <c r="G47" s="222"/>
    </row>
    <row r="48" spans="2:7" ht="17.100000000000001" customHeight="1" thickTop="1" thickBot="1">
      <c r="B48" s="244" t="s">
        <v>371</v>
      </c>
      <c r="C48" s="417">
        <v>25</v>
      </c>
      <c r="D48" s="417">
        <v>110756</v>
      </c>
      <c r="E48" s="417">
        <f t="shared" si="0"/>
        <v>4430.24</v>
      </c>
      <c r="F48" s="222"/>
      <c r="G48" s="222"/>
    </row>
    <row r="49" spans="2:7" ht="17.100000000000001" customHeight="1" thickTop="1" thickBot="1">
      <c r="B49" s="244" t="s">
        <v>372</v>
      </c>
      <c r="C49" s="417">
        <v>81</v>
      </c>
      <c r="D49" s="417">
        <v>220927</v>
      </c>
      <c r="E49" s="417">
        <f t="shared" si="0"/>
        <v>2727.4938271604938</v>
      </c>
      <c r="F49" s="222"/>
      <c r="G49" s="222"/>
    </row>
    <row r="50" spans="2:7" ht="17.100000000000001" customHeight="1" thickTop="1" thickBot="1">
      <c r="B50" s="244" t="s">
        <v>373</v>
      </c>
      <c r="C50" s="417">
        <v>13</v>
      </c>
      <c r="D50" s="417">
        <v>35466</v>
      </c>
      <c r="E50" s="417">
        <f t="shared" si="0"/>
        <v>2728.1538461538462</v>
      </c>
      <c r="F50" s="222"/>
      <c r="G50" s="222"/>
    </row>
    <row r="51" spans="2:7" ht="17.100000000000001" customHeight="1" thickTop="1" thickBot="1">
      <c r="B51" s="244" t="s">
        <v>374</v>
      </c>
      <c r="C51" s="417">
        <v>21</v>
      </c>
      <c r="D51" s="417">
        <v>114852</v>
      </c>
      <c r="E51" s="417">
        <f t="shared" si="0"/>
        <v>5469.1428571428569</v>
      </c>
      <c r="F51" s="222"/>
      <c r="G51" s="222"/>
    </row>
    <row r="52" spans="2:7" ht="17.100000000000001" customHeight="1" thickTop="1" thickBot="1">
      <c r="B52" s="244" t="s">
        <v>375</v>
      </c>
      <c r="C52" s="417">
        <v>17</v>
      </c>
      <c r="D52" s="417">
        <v>53473</v>
      </c>
      <c r="E52" s="417">
        <f t="shared" si="0"/>
        <v>3145.4705882352941</v>
      </c>
      <c r="F52" s="222"/>
      <c r="G52" s="222"/>
    </row>
    <row r="53" spans="2:7" ht="17.100000000000001" customHeight="1" thickTop="1" thickBot="1">
      <c r="B53" s="244" t="s">
        <v>376</v>
      </c>
      <c r="C53" s="417">
        <v>7</v>
      </c>
      <c r="D53" s="417">
        <v>57019</v>
      </c>
      <c r="E53" s="417">
        <f t="shared" si="0"/>
        <v>8145.5714285714284</v>
      </c>
      <c r="F53" s="222"/>
      <c r="G53" s="222"/>
    </row>
    <row r="54" spans="2:7" ht="17.100000000000001" customHeight="1" thickTop="1" thickBot="1">
      <c r="B54" s="244" t="s">
        <v>377</v>
      </c>
      <c r="C54" s="417">
        <v>28</v>
      </c>
      <c r="D54" s="417">
        <v>97298</v>
      </c>
      <c r="E54" s="417">
        <f t="shared" si="0"/>
        <v>3474.9285714285716</v>
      </c>
      <c r="F54" s="222"/>
      <c r="G54" s="222"/>
    </row>
    <row r="55" spans="2:7" ht="17.100000000000001" customHeight="1" thickTop="1" thickBot="1">
      <c r="B55" s="244" t="s">
        <v>378</v>
      </c>
      <c r="C55" s="417">
        <v>13</v>
      </c>
      <c r="D55" s="417">
        <v>64633</v>
      </c>
      <c r="E55" s="417">
        <f t="shared" si="0"/>
        <v>4971.7692307692305</v>
      </c>
      <c r="F55" s="222"/>
      <c r="G55" s="222"/>
    </row>
    <row r="56" spans="2:7" ht="17.100000000000001" customHeight="1" thickTop="1" thickBot="1">
      <c r="B56" s="244" t="s">
        <v>379</v>
      </c>
      <c r="C56" s="417">
        <v>20</v>
      </c>
      <c r="D56" s="417">
        <v>34779</v>
      </c>
      <c r="E56" s="417">
        <f t="shared" si="0"/>
        <v>1738.95</v>
      </c>
      <c r="F56" s="222"/>
      <c r="G56" s="222"/>
    </row>
    <row r="57" spans="2:7" ht="17.100000000000001" customHeight="1" thickTop="1" thickBot="1">
      <c r="B57" s="244" t="s">
        <v>380</v>
      </c>
      <c r="C57" s="417">
        <v>11</v>
      </c>
      <c r="D57" s="417">
        <v>186513</v>
      </c>
      <c r="E57" s="417">
        <f t="shared" si="0"/>
        <v>16955.727272727272</v>
      </c>
      <c r="F57" s="222"/>
      <c r="G57" s="222"/>
    </row>
    <row r="58" spans="2:7" ht="17.100000000000001" customHeight="1" thickTop="1" thickBot="1">
      <c r="B58" s="244" t="s">
        <v>381</v>
      </c>
      <c r="C58" s="417">
        <v>20</v>
      </c>
      <c r="D58" s="417">
        <v>99430</v>
      </c>
      <c r="E58" s="417">
        <f t="shared" si="0"/>
        <v>4971.5</v>
      </c>
      <c r="F58" s="222"/>
      <c r="G58" s="222"/>
    </row>
    <row r="59" spans="2:7" ht="17.100000000000001" customHeight="1" thickTop="1" thickBot="1">
      <c r="B59" s="244" t="s">
        <v>382</v>
      </c>
      <c r="C59" s="417">
        <v>8</v>
      </c>
      <c r="D59" s="417">
        <v>23766</v>
      </c>
      <c r="E59" s="417">
        <f t="shared" si="0"/>
        <v>2970.75</v>
      </c>
      <c r="F59" s="222"/>
      <c r="G59" s="222"/>
    </row>
    <row r="60" spans="2:7" ht="17.100000000000001" customHeight="1" thickTop="1" thickBot="1">
      <c r="B60" s="244" t="s">
        <v>383</v>
      </c>
      <c r="C60" s="417">
        <v>15</v>
      </c>
      <c r="D60" s="417">
        <v>47778</v>
      </c>
      <c r="E60" s="417">
        <f t="shared" si="0"/>
        <v>3185.2</v>
      </c>
      <c r="F60" s="222"/>
      <c r="G60" s="222"/>
    </row>
    <row r="61" spans="2:7" ht="17.100000000000001" customHeight="1" thickTop="1" thickBot="1">
      <c r="B61" s="244" t="s">
        <v>384</v>
      </c>
      <c r="C61" s="417">
        <v>6</v>
      </c>
      <c r="D61" s="417">
        <v>200025</v>
      </c>
      <c r="E61" s="417">
        <f t="shared" si="0"/>
        <v>33337.5</v>
      </c>
      <c r="F61" s="222"/>
      <c r="G61" s="222"/>
    </row>
    <row r="62" spans="2:7" ht="17.100000000000001" customHeight="1" thickTop="1" thickBot="1">
      <c r="B62" s="244" t="s">
        <v>385</v>
      </c>
      <c r="C62" s="417">
        <v>2</v>
      </c>
      <c r="D62" s="417">
        <v>7875</v>
      </c>
      <c r="E62" s="417">
        <f t="shared" si="0"/>
        <v>3937.5</v>
      </c>
      <c r="F62" s="222"/>
      <c r="G62" s="222"/>
    </row>
    <row r="63" spans="2:7" ht="17.100000000000001" customHeight="1" thickTop="1" thickBot="1">
      <c r="B63" s="244" t="s">
        <v>386</v>
      </c>
      <c r="C63" s="417">
        <v>1</v>
      </c>
      <c r="D63" s="417">
        <v>3532</v>
      </c>
      <c r="E63" s="417">
        <f t="shared" si="0"/>
        <v>3532</v>
      </c>
      <c r="F63" s="222"/>
      <c r="G63" s="222"/>
    </row>
    <row r="64" spans="2:7" ht="17.100000000000001" customHeight="1" thickTop="1" thickBot="1">
      <c r="B64" s="244" t="s">
        <v>387</v>
      </c>
      <c r="C64" s="417">
        <v>10</v>
      </c>
      <c r="D64" s="417">
        <v>35154</v>
      </c>
      <c r="E64" s="417">
        <f t="shared" si="0"/>
        <v>3515.4</v>
      </c>
      <c r="F64" s="222"/>
      <c r="G64" s="222"/>
    </row>
    <row r="65" spans="2:7" ht="17.100000000000001" customHeight="1" thickTop="1" thickBot="1">
      <c r="B65" s="244" t="s">
        <v>388</v>
      </c>
      <c r="C65" s="417">
        <v>4</v>
      </c>
      <c r="D65" s="417">
        <v>10708</v>
      </c>
      <c r="E65" s="417">
        <f t="shared" si="0"/>
        <v>2677</v>
      </c>
      <c r="F65" s="222"/>
      <c r="G65" s="222"/>
    </row>
    <row r="66" spans="2:7" ht="17.100000000000001" customHeight="1" thickTop="1" thickBot="1">
      <c r="B66" s="244" t="s">
        <v>389</v>
      </c>
      <c r="C66" s="417">
        <v>7</v>
      </c>
      <c r="D66" s="417">
        <v>28901</v>
      </c>
      <c r="E66" s="417">
        <f t="shared" si="0"/>
        <v>4128.7142857142853</v>
      </c>
      <c r="F66" s="222"/>
      <c r="G66" s="222"/>
    </row>
    <row r="67" spans="2:7" ht="17.100000000000001" customHeight="1" thickTop="1" thickBot="1">
      <c r="B67" s="244" t="s">
        <v>390</v>
      </c>
      <c r="C67" s="417">
        <v>10</v>
      </c>
      <c r="D67" s="417">
        <v>26233</v>
      </c>
      <c r="E67" s="417">
        <f t="shared" si="0"/>
        <v>2623.3</v>
      </c>
      <c r="F67" s="222"/>
      <c r="G67" s="222"/>
    </row>
    <row r="68" spans="2:7" ht="17.100000000000001" customHeight="1" thickTop="1" thickBot="1">
      <c r="B68" s="244" t="s">
        <v>391</v>
      </c>
      <c r="C68" s="417">
        <v>11</v>
      </c>
      <c r="D68" s="417">
        <v>40892</v>
      </c>
      <c r="E68" s="417">
        <f t="shared" si="0"/>
        <v>3717.4545454545455</v>
      </c>
      <c r="F68" s="222"/>
      <c r="G68" s="222"/>
    </row>
    <row r="69" spans="2:7" ht="17.100000000000001" customHeight="1" thickTop="1" thickBot="1">
      <c r="B69" s="244" t="s">
        <v>392</v>
      </c>
      <c r="C69" s="417">
        <v>1</v>
      </c>
      <c r="D69" s="417">
        <v>2500</v>
      </c>
      <c r="E69" s="417">
        <f t="shared" si="0"/>
        <v>2500</v>
      </c>
      <c r="F69" s="222"/>
      <c r="G69" s="222"/>
    </row>
    <row r="70" spans="2:7" ht="17.100000000000001" customHeight="1" thickTop="1" thickBot="1">
      <c r="B70" s="244" t="s">
        <v>393</v>
      </c>
      <c r="C70" s="417">
        <v>78</v>
      </c>
      <c r="D70" s="417">
        <v>443851</v>
      </c>
      <c r="E70" s="417">
        <f t="shared" ref="E70:E86" si="1">+D70/C70</f>
        <v>5690.3974358974356</v>
      </c>
      <c r="F70" s="222"/>
      <c r="G70" s="222"/>
    </row>
    <row r="71" spans="2:7" ht="17.100000000000001" customHeight="1" thickTop="1" thickBot="1">
      <c r="B71" s="244" t="s">
        <v>394</v>
      </c>
      <c r="C71" s="417">
        <v>10</v>
      </c>
      <c r="D71" s="417">
        <v>75698</v>
      </c>
      <c r="E71" s="417">
        <f t="shared" si="1"/>
        <v>7569.8</v>
      </c>
      <c r="F71" s="222"/>
      <c r="G71" s="222"/>
    </row>
    <row r="72" spans="2:7" ht="17.100000000000001" customHeight="1" thickTop="1" thickBot="1">
      <c r="B72" s="244" t="s">
        <v>395</v>
      </c>
      <c r="C72" s="417">
        <v>11</v>
      </c>
      <c r="D72" s="417">
        <v>57278</v>
      </c>
      <c r="E72" s="417">
        <f t="shared" si="1"/>
        <v>5207.090909090909</v>
      </c>
      <c r="F72" s="222"/>
      <c r="G72" s="222"/>
    </row>
    <row r="73" spans="2:7" ht="17.100000000000001" customHeight="1" thickTop="1" thickBot="1">
      <c r="B73" s="244" t="s">
        <v>396</v>
      </c>
      <c r="C73" s="417">
        <v>5</v>
      </c>
      <c r="D73" s="417">
        <v>28218</v>
      </c>
      <c r="E73" s="417">
        <f t="shared" si="1"/>
        <v>5643.6</v>
      </c>
      <c r="F73" s="222"/>
      <c r="G73" s="222"/>
    </row>
    <row r="74" spans="2:7" ht="17.100000000000001" customHeight="1" thickTop="1" thickBot="1">
      <c r="B74" s="244" t="s">
        <v>397</v>
      </c>
      <c r="C74" s="417">
        <v>9</v>
      </c>
      <c r="D74" s="417">
        <v>19800</v>
      </c>
      <c r="E74" s="417">
        <f t="shared" si="1"/>
        <v>2200</v>
      </c>
      <c r="F74" s="222"/>
      <c r="G74" s="222"/>
    </row>
    <row r="75" spans="2:7" ht="17.100000000000001" customHeight="1" thickTop="1" thickBot="1">
      <c r="B75" s="244" t="s">
        <v>398</v>
      </c>
      <c r="C75" s="417">
        <v>7</v>
      </c>
      <c r="D75" s="417">
        <v>74122</v>
      </c>
      <c r="E75" s="417">
        <f t="shared" si="1"/>
        <v>10588.857142857143</v>
      </c>
      <c r="F75" s="222"/>
      <c r="G75" s="222"/>
    </row>
    <row r="76" spans="2:7" ht="17.100000000000001" customHeight="1" thickTop="1" thickBot="1">
      <c r="B76" s="244" t="s">
        <v>399</v>
      </c>
      <c r="C76" s="417">
        <v>5</v>
      </c>
      <c r="D76" s="417">
        <v>38568</v>
      </c>
      <c r="E76" s="417">
        <f t="shared" si="1"/>
        <v>7713.6</v>
      </c>
      <c r="F76" s="222"/>
      <c r="G76" s="222"/>
    </row>
    <row r="77" spans="2:7" ht="17.100000000000001" customHeight="1" thickTop="1" thickBot="1">
      <c r="B77" s="244" t="s">
        <v>400</v>
      </c>
      <c r="C77" s="417">
        <v>5</v>
      </c>
      <c r="D77" s="417">
        <v>19296</v>
      </c>
      <c r="E77" s="417">
        <f t="shared" si="1"/>
        <v>3859.2</v>
      </c>
      <c r="F77" s="222"/>
      <c r="G77" s="222"/>
    </row>
    <row r="78" spans="2:7" ht="17.100000000000001" customHeight="1" thickTop="1" thickBot="1">
      <c r="B78" s="244" t="s">
        <v>401</v>
      </c>
      <c r="C78" s="417">
        <v>3</v>
      </c>
      <c r="D78" s="417">
        <v>25266</v>
      </c>
      <c r="E78" s="417">
        <f t="shared" si="1"/>
        <v>8422</v>
      </c>
      <c r="F78" s="222"/>
      <c r="G78" s="222"/>
    </row>
    <row r="79" spans="2:7" ht="17.100000000000001" customHeight="1" thickTop="1" thickBot="1">
      <c r="B79" s="244" t="s">
        <v>402</v>
      </c>
      <c r="C79" s="417">
        <v>13</v>
      </c>
      <c r="D79" s="417">
        <v>65708</v>
      </c>
      <c r="E79" s="417">
        <f t="shared" si="1"/>
        <v>5054.4615384615381</v>
      </c>
      <c r="F79" s="222"/>
      <c r="G79" s="222"/>
    </row>
    <row r="80" spans="2:7" ht="17.100000000000001" customHeight="1" thickTop="1" thickBot="1">
      <c r="B80" s="244" t="s">
        <v>403</v>
      </c>
      <c r="C80" s="417">
        <v>8</v>
      </c>
      <c r="D80" s="417">
        <v>289547</v>
      </c>
      <c r="E80" s="417">
        <f t="shared" si="1"/>
        <v>36193.375</v>
      </c>
      <c r="F80" s="222"/>
      <c r="G80" s="222"/>
    </row>
    <row r="81" spans="1:11" ht="17.100000000000001" customHeight="1" thickTop="1" thickBot="1">
      <c r="B81" s="244" t="s">
        <v>404</v>
      </c>
      <c r="C81" s="417">
        <v>40</v>
      </c>
      <c r="D81" s="417">
        <v>265105</v>
      </c>
      <c r="E81" s="417">
        <f t="shared" si="1"/>
        <v>6627.625</v>
      </c>
      <c r="F81" s="222"/>
      <c r="G81" s="222"/>
    </row>
    <row r="82" spans="1:11" ht="17.100000000000001" customHeight="1" thickTop="1" thickBot="1">
      <c r="B82" s="244" t="s">
        <v>405</v>
      </c>
      <c r="C82" s="417">
        <v>66</v>
      </c>
      <c r="D82" s="417">
        <v>420294</v>
      </c>
      <c r="E82" s="417">
        <f t="shared" si="1"/>
        <v>6368.090909090909</v>
      </c>
      <c r="F82" s="222"/>
      <c r="G82" s="222"/>
    </row>
    <row r="83" spans="1:11" ht="17.100000000000001" customHeight="1" thickTop="1" thickBot="1">
      <c r="B83" s="244" t="s">
        <v>406</v>
      </c>
      <c r="C83" s="417">
        <v>11</v>
      </c>
      <c r="D83" s="417">
        <v>81404</v>
      </c>
      <c r="E83" s="417">
        <f t="shared" si="1"/>
        <v>7400.363636363636</v>
      </c>
    </row>
    <row r="84" spans="1:11" ht="17.100000000000001" customHeight="1" thickTop="1" thickBot="1">
      <c r="B84" s="244" t="s">
        <v>407</v>
      </c>
      <c r="C84" s="417">
        <v>4</v>
      </c>
      <c r="D84" s="417">
        <v>37325</v>
      </c>
      <c r="E84" s="417">
        <f t="shared" si="1"/>
        <v>9331.25</v>
      </c>
    </row>
    <row r="85" spans="1:11" ht="17.100000000000001" customHeight="1" thickTop="1" thickBot="1">
      <c r="B85" s="244" t="s">
        <v>408</v>
      </c>
      <c r="C85" s="417">
        <v>19</v>
      </c>
      <c r="D85" s="417">
        <v>103124</v>
      </c>
      <c r="E85" s="417">
        <f t="shared" si="1"/>
        <v>5427.5789473684208</v>
      </c>
    </row>
    <row r="86" spans="1:11" ht="17.100000000000001" customHeight="1" thickTop="1" thickBot="1">
      <c r="B86" s="277" t="s">
        <v>409</v>
      </c>
      <c r="C86" s="417">
        <v>24</v>
      </c>
      <c r="D86" s="417">
        <v>118527</v>
      </c>
      <c r="E86" s="417">
        <f t="shared" si="1"/>
        <v>4938.625</v>
      </c>
    </row>
    <row r="87" spans="1:11" ht="17.100000000000001" customHeight="1" thickTop="1" thickBot="1">
      <c r="B87" s="278"/>
      <c r="C87" s="247"/>
      <c r="D87" s="247"/>
      <c r="E87" s="247"/>
    </row>
    <row r="88" spans="1:11" ht="16.5" customHeight="1" thickTop="1" thickBot="1">
      <c r="B88" s="491" t="s">
        <v>648</v>
      </c>
      <c r="C88" s="492"/>
      <c r="D88" s="492"/>
      <c r="E88" s="492"/>
    </row>
    <row r="89" spans="1:11" ht="15.75" thickTop="1">
      <c r="A89" s="25"/>
      <c r="B89" s="25"/>
      <c r="C89" s="220"/>
      <c r="D89" s="220"/>
      <c r="E89" s="220"/>
      <c r="F89" s="25"/>
      <c r="G89" s="25"/>
      <c r="H89" s="25"/>
      <c r="I89" s="25"/>
      <c r="J89" s="25"/>
      <c r="K89" s="219"/>
    </row>
    <row r="90" spans="1:11" ht="15">
      <c r="B90" s="25"/>
      <c r="C90" s="220"/>
      <c r="D90" s="220"/>
      <c r="E90" s="220"/>
    </row>
    <row r="91" spans="1:11" ht="15">
      <c r="B91" s="25"/>
      <c r="C91" s="25"/>
      <c r="D91" s="25"/>
      <c r="E91" s="25"/>
    </row>
    <row r="92" spans="1:11" s="219" customFormat="1">
      <c r="A92" s="22"/>
      <c r="C92" s="236"/>
      <c r="D92" s="236"/>
      <c r="K92" s="22"/>
    </row>
    <row r="93" spans="1:11" s="219" customFormat="1">
      <c r="A93" s="22"/>
      <c r="K93" s="22"/>
    </row>
    <row r="94" spans="1:11" s="219" customFormat="1">
      <c r="A94" s="22"/>
      <c r="K94" s="22"/>
    </row>
    <row r="95" spans="1:11" s="219" customFormat="1">
      <c r="A95" s="22"/>
      <c r="K95" s="22"/>
    </row>
    <row r="96" spans="1:11" s="219" customFormat="1">
      <c r="A96" s="22"/>
      <c r="K96" s="22"/>
    </row>
    <row r="97" spans="1:11" s="219" customFormat="1">
      <c r="A97" s="22"/>
      <c r="K97" s="22"/>
    </row>
    <row r="98" spans="1:11" s="219" customFormat="1">
      <c r="A98" s="22"/>
      <c r="K98" s="22"/>
    </row>
    <row r="99" spans="1:11" s="219" customFormat="1">
      <c r="A99" s="22"/>
      <c r="K99" s="22"/>
    </row>
    <row r="100" spans="1:11" s="219" customFormat="1">
      <c r="A100" s="22"/>
      <c r="K100" s="22"/>
    </row>
    <row r="101" spans="1:11" s="219" customFormat="1">
      <c r="A101" s="22"/>
      <c r="K101" s="22"/>
    </row>
    <row r="102" spans="1:11" s="219" customFormat="1">
      <c r="A102" s="22"/>
      <c r="K102" s="22"/>
    </row>
    <row r="103" spans="1:11" s="219" customFormat="1">
      <c r="A103" s="22"/>
      <c r="K103" s="22"/>
    </row>
    <row r="104" spans="1:11" s="219" customFormat="1">
      <c r="A104" s="22"/>
      <c r="K104" s="22"/>
    </row>
    <row r="125" spans="1:11" s="219" customFormat="1" ht="15">
      <c r="A125" s="22"/>
      <c r="B125" s="221"/>
      <c r="K125" s="22"/>
    </row>
  </sheetData>
  <mergeCells count="3">
    <mergeCell ref="B2:E2"/>
    <mergeCell ref="B3:E3"/>
    <mergeCell ref="B88:E88"/>
  </mergeCells>
  <hyperlinks>
    <hyperlink ref="B3:E3" location="'Capitulo 2'!B22" display="Número de obras de reparación residencial (viviendas y apartamentos), valor (en miles de colones) y valor promedio por obra (en miles de colones), según cantón. 2018." xr:uid="{00000000-0004-0000-0B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ignoredErrors>
    <ignoredError sqref="E6:E18 E22:E25 E20 E27:E86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52"/>
  <sheetViews>
    <sheetView showGridLines="0" zoomScaleNormal="100" workbookViewId="0">
      <pane ySplit="5" topLeftCell="A6" activePane="bottomLeft" state="frozen"/>
      <selection pane="bottomLeft" activeCell="D25" sqref="D25"/>
    </sheetView>
  </sheetViews>
  <sheetFormatPr baseColWidth="10" defaultColWidth="11.42578125" defaultRowHeight="14.25"/>
  <cols>
    <col min="1" max="1" width="11.42578125" customWidth="1"/>
    <col min="2" max="2" width="49" style="15" customWidth="1"/>
    <col min="3" max="4" width="19.42578125" style="15" customWidth="1"/>
    <col min="5" max="5" width="21.42578125" style="15" customWidth="1"/>
    <col min="6" max="11" width="11.42578125" style="15" customWidth="1"/>
  </cols>
  <sheetData>
    <row r="1" spans="1:12" ht="18" customHeight="1">
      <c r="B1" s="28"/>
    </row>
    <row r="2" spans="1:12" ht="15.75" customHeight="1">
      <c r="B2" s="462" t="s">
        <v>14</v>
      </c>
      <c r="C2" s="462"/>
      <c r="D2" s="462"/>
      <c r="E2" s="462"/>
      <c r="F2" s="36"/>
      <c r="G2" s="36"/>
      <c r="H2" s="36"/>
    </row>
    <row r="3" spans="1:12" ht="33.75" customHeight="1" thickBot="1">
      <c r="B3" s="464" t="s">
        <v>1126</v>
      </c>
      <c r="C3" s="464"/>
      <c r="D3" s="464"/>
      <c r="E3" s="464"/>
    </row>
    <row r="4" spans="1:12" ht="16.5" customHeight="1" thickTop="1" thickBot="1">
      <c r="B4" s="484" t="s">
        <v>109</v>
      </c>
      <c r="C4" s="493" t="s">
        <v>10</v>
      </c>
      <c r="D4" s="494"/>
      <c r="E4" s="476" t="s">
        <v>1127</v>
      </c>
    </row>
    <row r="5" spans="1:12" ht="16.5" customHeight="1" thickTop="1" thickBot="1">
      <c r="B5" s="485"/>
      <c r="C5" s="315">
        <v>2016</v>
      </c>
      <c r="D5" s="315">
        <v>2017</v>
      </c>
      <c r="E5" s="477"/>
    </row>
    <row r="6" spans="1:12" ht="17.100000000000001" customHeight="1" thickTop="1" thickBot="1">
      <c r="B6" s="272" t="s">
        <v>110</v>
      </c>
      <c r="C6" s="413">
        <v>4251329</v>
      </c>
      <c r="D6" s="413">
        <v>3517227</v>
      </c>
      <c r="E6" s="280">
        <f>+(D6-C6)/C6</f>
        <v>-0.17267588558777738</v>
      </c>
      <c r="F6" s="37"/>
    </row>
    <row r="7" spans="1:12" ht="17.100000000000001" customHeight="1" thickTop="1" thickBot="1">
      <c r="B7" s="272" t="s">
        <v>641</v>
      </c>
      <c r="C7" s="413">
        <v>2277622</v>
      </c>
      <c r="D7" s="413">
        <v>2135833</v>
      </c>
      <c r="E7" s="280">
        <f t="shared" ref="E7:E13" si="0">+(D7-C7)/C7</f>
        <v>-6.2253086772080704E-2</v>
      </c>
      <c r="F7" s="37"/>
    </row>
    <row r="8" spans="1:12" ht="17.100000000000001" customHeight="1" thickTop="1" thickBot="1">
      <c r="B8" s="272" t="s">
        <v>642</v>
      </c>
      <c r="C8" s="413">
        <v>613721</v>
      </c>
      <c r="D8" s="413">
        <v>551827</v>
      </c>
      <c r="E8" s="280">
        <f t="shared" si="0"/>
        <v>-0.10085038641337024</v>
      </c>
      <c r="F8" s="37"/>
    </row>
    <row r="9" spans="1:12" ht="17.100000000000001" customHeight="1" thickTop="1" thickBot="1">
      <c r="B9" s="272" t="s">
        <v>643</v>
      </c>
      <c r="C9" s="413">
        <v>633552</v>
      </c>
      <c r="D9" s="413">
        <v>482400</v>
      </c>
      <c r="E9" s="280">
        <f t="shared" si="0"/>
        <v>-0.23857868020304568</v>
      </c>
      <c r="F9" s="37"/>
    </row>
    <row r="10" spans="1:12" ht="17.100000000000001" customHeight="1" thickTop="1" thickBot="1">
      <c r="B10" s="272" t="s">
        <v>644</v>
      </c>
      <c r="C10" s="413">
        <v>427639</v>
      </c>
      <c r="D10" s="413">
        <v>257500</v>
      </c>
      <c r="E10" s="280">
        <f t="shared" si="0"/>
        <v>-0.39785660335002188</v>
      </c>
      <c r="F10" s="37"/>
    </row>
    <row r="11" spans="1:12" ht="17.100000000000001" customHeight="1" thickTop="1" thickBot="1">
      <c r="B11" s="272" t="s">
        <v>645</v>
      </c>
      <c r="C11" s="413">
        <v>152586</v>
      </c>
      <c r="D11" s="413">
        <v>69208</v>
      </c>
      <c r="E11" s="280">
        <f t="shared" si="0"/>
        <v>-0.54643283132135323</v>
      </c>
      <c r="F11" s="37"/>
    </row>
    <row r="12" spans="1:12" ht="17.100000000000001" customHeight="1" thickTop="1" thickBot="1">
      <c r="B12" s="272" t="s">
        <v>646</v>
      </c>
      <c r="C12" s="413">
        <v>143326</v>
      </c>
      <c r="D12" s="413">
        <v>14426</v>
      </c>
      <c r="E12" s="280">
        <f t="shared" si="0"/>
        <v>-0.8993483387522152</v>
      </c>
      <c r="F12" s="37"/>
    </row>
    <row r="13" spans="1:12" ht="17.100000000000001" customHeight="1" thickTop="1" thickBot="1">
      <c r="B13" s="272" t="s">
        <v>647</v>
      </c>
      <c r="C13" s="413">
        <v>2883</v>
      </c>
      <c r="D13" s="413">
        <v>6032</v>
      </c>
      <c r="E13" s="280">
        <f t="shared" si="0"/>
        <v>1.0922650017343045</v>
      </c>
      <c r="F13" s="37"/>
    </row>
    <row r="14" spans="1:12" ht="17.100000000000001" customHeight="1" thickTop="1" thickBot="1">
      <c r="B14" s="273"/>
      <c r="C14" s="249"/>
      <c r="D14" s="249"/>
      <c r="E14" s="279"/>
      <c r="F14" s="37"/>
    </row>
    <row r="15" spans="1:12" ht="16.5" customHeight="1" thickTop="1" thickBot="1">
      <c r="B15" s="469" t="s">
        <v>649</v>
      </c>
      <c r="C15" s="470"/>
      <c r="D15" s="470"/>
      <c r="E15" s="470"/>
    </row>
    <row r="16" spans="1:12" ht="15.75" thickTop="1">
      <c r="A16" s="10"/>
      <c r="B16" s="10"/>
      <c r="C16" s="30"/>
      <c r="D16" s="30"/>
      <c r="E16" s="10"/>
      <c r="F16" s="10"/>
      <c r="G16" s="10"/>
      <c r="H16" s="10"/>
      <c r="I16" s="10"/>
      <c r="J16" s="10"/>
      <c r="K16" s="10"/>
      <c r="L16" s="15"/>
    </row>
    <row r="17" spans="1:15" ht="15">
      <c r="B17" s="10"/>
    </row>
    <row r="18" spans="1:15" ht="15">
      <c r="B18" s="10"/>
    </row>
    <row r="19" spans="1:15" s="15" customFormat="1">
      <c r="A19"/>
      <c r="L19"/>
      <c r="M19"/>
      <c r="N19"/>
      <c r="O19"/>
    </row>
    <row r="20" spans="1:15" s="15" customFormat="1">
      <c r="A20"/>
      <c r="L20"/>
      <c r="M20"/>
      <c r="N20"/>
      <c r="O20"/>
    </row>
    <row r="21" spans="1:15" s="15" customFormat="1">
      <c r="A21"/>
      <c r="L21"/>
      <c r="M21"/>
      <c r="N21"/>
      <c r="O21"/>
    </row>
    <row r="22" spans="1:15" s="15" customFormat="1">
      <c r="A22"/>
      <c r="L22"/>
      <c r="M22"/>
      <c r="N22"/>
      <c r="O22"/>
    </row>
    <row r="23" spans="1:15" s="15" customFormat="1">
      <c r="A23"/>
      <c r="L23"/>
      <c r="M23"/>
      <c r="N23"/>
      <c r="O23"/>
    </row>
    <row r="24" spans="1:15" s="15" customFormat="1">
      <c r="A24"/>
      <c r="L24"/>
      <c r="M24"/>
      <c r="N24"/>
      <c r="O24"/>
    </row>
    <row r="25" spans="1:15" s="15" customFormat="1">
      <c r="A25"/>
      <c r="L25"/>
      <c r="M25"/>
      <c r="N25"/>
      <c r="O25"/>
    </row>
    <row r="26" spans="1:15" s="15" customFormat="1">
      <c r="A26"/>
      <c r="L26"/>
      <c r="M26"/>
      <c r="N26"/>
      <c r="O26"/>
    </row>
    <row r="27" spans="1:15" s="15" customFormat="1">
      <c r="A27"/>
      <c r="L27"/>
      <c r="M27"/>
      <c r="N27"/>
      <c r="O27"/>
    </row>
    <row r="28" spans="1:15" s="15" customFormat="1">
      <c r="A28"/>
      <c r="L28"/>
      <c r="M28"/>
      <c r="N28"/>
      <c r="O28"/>
    </row>
    <row r="29" spans="1:15" s="15" customFormat="1">
      <c r="A29"/>
      <c r="L29"/>
      <c r="M29"/>
      <c r="N29"/>
      <c r="O29"/>
    </row>
    <row r="30" spans="1:15" s="15" customFormat="1">
      <c r="A30"/>
      <c r="L30"/>
      <c r="M30"/>
      <c r="N30"/>
      <c r="O30"/>
    </row>
    <row r="31" spans="1:15" s="15" customFormat="1">
      <c r="A31"/>
      <c r="L31"/>
      <c r="M31"/>
      <c r="N31"/>
      <c r="O31"/>
    </row>
    <row r="52" spans="1:15" s="15" customFormat="1" ht="15">
      <c r="A52"/>
      <c r="B52" s="31"/>
      <c r="L52"/>
      <c r="M52"/>
      <c r="N52"/>
      <c r="O52"/>
    </row>
  </sheetData>
  <mergeCells count="6">
    <mergeCell ref="B2:E2"/>
    <mergeCell ref="B3:E3"/>
    <mergeCell ref="B15:E15"/>
    <mergeCell ref="E4:E5"/>
    <mergeCell ref="B4:B5"/>
    <mergeCell ref="C4:D4"/>
  </mergeCells>
  <hyperlinks>
    <hyperlink ref="B3:E3" location="'Capitulo 2'!B23" display="Metros cuadrados construidos en obras habitacionales, según tipo de obra. 2017-2018." xr:uid="{00000000-0004-0000-0C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U46"/>
  <sheetViews>
    <sheetView showGridLines="0" zoomScaleNormal="100" workbookViewId="0">
      <pane ySplit="5" topLeftCell="A6" activePane="bottomLeft" state="frozen"/>
      <selection pane="bottomLeft" activeCell="B3" sqref="B3:F3"/>
    </sheetView>
  </sheetViews>
  <sheetFormatPr baseColWidth="10" defaultRowHeight="15"/>
  <cols>
    <col min="1" max="1" width="11.42578125" style="1" customWidth="1"/>
    <col min="2" max="2" width="14.85546875" style="15" customWidth="1"/>
    <col min="3" max="3" width="29.42578125" style="15" customWidth="1"/>
    <col min="4" max="4" width="15.28515625" style="15" customWidth="1"/>
    <col min="5" max="5" width="36.28515625" style="15" customWidth="1"/>
    <col min="6" max="6" width="15.85546875" style="15" customWidth="1"/>
    <col min="7" max="7" width="11.42578125" style="15" customWidth="1"/>
    <col min="8" max="8" width="12.42578125" style="15" customWidth="1"/>
    <col min="9" max="21" width="11.42578125" style="15" customWidth="1"/>
    <col min="22" max="16384" width="11.42578125" style="1"/>
  </cols>
  <sheetData>
    <row r="1" spans="2:21" ht="15.75">
      <c r="B1" s="28"/>
      <c r="C1" s="10"/>
      <c r="D1" s="10"/>
      <c r="E1" s="10"/>
      <c r="F1" s="10"/>
    </row>
    <row r="2" spans="2:21">
      <c r="B2" s="462" t="s">
        <v>38</v>
      </c>
      <c r="C2" s="462"/>
      <c r="D2" s="462"/>
      <c r="E2" s="462"/>
      <c r="F2" s="462"/>
      <c r="G2" s="36"/>
      <c r="H2" s="36"/>
    </row>
    <row r="3" spans="2:21" ht="42" customHeight="1" thickBot="1">
      <c r="B3" s="464" t="s">
        <v>509</v>
      </c>
      <c r="C3" s="464"/>
      <c r="D3" s="464"/>
      <c r="E3" s="464"/>
      <c r="F3" s="464"/>
    </row>
    <row r="4" spans="2:21" ht="16.5" thickTop="1" thickBot="1">
      <c r="B4" s="484" t="s">
        <v>10</v>
      </c>
      <c r="C4" s="459" t="s">
        <v>292</v>
      </c>
      <c r="D4" s="460"/>
      <c r="E4" s="460"/>
      <c r="F4" s="461"/>
    </row>
    <row r="5" spans="2:21" ht="17.25" thickTop="1" thickBot="1">
      <c r="B5" s="485"/>
      <c r="C5" s="315" t="s">
        <v>1070</v>
      </c>
      <c r="D5" s="315" t="s">
        <v>111</v>
      </c>
      <c r="E5" s="315" t="s">
        <v>1071</v>
      </c>
      <c r="F5" s="315" t="s">
        <v>111</v>
      </c>
    </row>
    <row r="6" spans="2:21" ht="16.5" thickTop="1" thickBot="1">
      <c r="B6" s="253">
        <v>2015</v>
      </c>
      <c r="C6" s="282">
        <v>101.9</v>
      </c>
      <c r="D6" s="283">
        <v>-1.2E-2</v>
      </c>
      <c r="E6" s="282">
        <v>105.8</v>
      </c>
      <c r="F6" s="283">
        <v>1.6E-2</v>
      </c>
    </row>
    <row r="7" spans="2:21" ht="16.5" thickTop="1" thickBot="1">
      <c r="B7" s="253">
        <v>2016</v>
      </c>
      <c r="C7" s="282">
        <v>97.7</v>
      </c>
      <c r="D7" s="283">
        <v>-4.1000000000000002E-2</v>
      </c>
      <c r="E7" s="282">
        <v>100.3</v>
      </c>
      <c r="F7" s="283">
        <v>-5.1999999999999998E-2</v>
      </c>
    </row>
    <row r="8" spans="2:21" ht="16.5" thickTop="1" thickBot="1">
      <c r="B8" s="253">
        <v>2017</v>
      </c>
      <c r="C8" s="282">
        <v>103</v>
      </c>
      <c r="D8" s="283">
        <v>5.3999999999999999E-2</v>
      </c>
      <c r="E8" s="282">
        <v>103.7</v>
      </c>
      <c r="F8" s="283">
        <v>3.4000000000000002E-2</v>
      </c>
    </row>
    <row r="9" spans="2:21" ht="16.5" thickTop="1" thickBot="1">
      <c r="B9" s="254">
        <v>2018</v>
      </c>
      <c r="C9" s="284">
        <v>110.4</v>
      </c>
      <c r="D9" s="283">
        <f>+(C9-C8)/C8</f>
        <v>7.1844660194174806E-2</v>
      </c>
      <c r="E9" s="282">
        <v>109.3</v>
      </c>
      <c r="F9" s="283">
        <f>+(E9-E8)/E8</f>
        <v>5.4001928640308526E-2</v>
      </c>
    </row>
    <row r="10" spans="2:21" ht="16.5" thickTop="1" thickBot="1">
      <c r="B10" s="248"/>
      <c r="C10" s="261"/>
      <c r="D10" s="281"/>
      <c r="E10" s="261"/>
      <c r="F10" s="279"/>
    </row>
    <row r="11" spans="2:21" s="12" customFormat="1" ht="13.5" thickTop="1" thickBot="1">
      <c r="B11" s="495" t="s">
        <v>96</v>
      </c>
      <c r="C11" s="496"/>
      <c r="D11" s="496"/>
      <c r="E11" s="496"/>
      <c r="F11" s="496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pans="2:21" ht="16.5" thickTop="1" thickBot="1">
      <c r="B12" s="495" t="s">
        <v>1069</v>
      </c>
      <c r="C12" s="496"/>
      <c r="D12" s="496"/>
      <c r="E12" s="496"/>
      <c r="F12" s="496"/>
    </row>
    <row r="13" spans="2:21" ht="15.75" thickTop="1">
      <c r="D13" s="180"/>
    </row>
    <row r="14" spans="2:21">
      <c r="D14" s="203"/>
    </row>
    <row r="46" spans="2:2">
      <c r="B46" s="31"/>
    </row>
  </sheetData>
  <mergeCells count="6">
    <mergeCell ref="B12:F12"/>
    <mergeCell ref="B2:F2"/>
    <mergeCell ref="B3:F3"/>
    <mergeCell ref="B4:B5"/>
    <mergeCell ref="C4:F4"/>
    <mergeCell ref="B11:F11"/>
  </mergeCells>
  <hyperlinks>
    <hyperlink ref="B3:F3" location="'Capitulo 2'!B24" display="Índice de precios de edificios y vivienda de interés social, y su variación porcentual anual. 2015-2018." xr:uid="{00000000-0004-0000-0D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B43E97"/>
  </sheetPr>
  <dimension ref="A1:I38"/>
  <sheetViews>
    <sheetView showGridLines="0" topLeftCell="A15" workbookViewId="0">
      <selection activeCell="B38" sqref="B38:I38"/>
    </sheetView>
  </sheetViews>
  <sheetFormatPr baseColWidth="10" defaultColWidth="11.42578125" defaultRowHeight="12.75"/>
  <cols>
    <col min="1" max="1" width="14.7109375" customWidth="1"/>
    <col min="2" max="2" width="15.5703125" customWidth="1"/>
    <col min="3" max="3" width="15" customWidth="1"/>
    <col min="4" max="6" width="11.42578125" customWidth="1"/>
    <col min="7" max="7" width="11.5703125" customWidth="1"/>
  </cols>
  <sheetData>
    <row r="1" spans="1:9">
      <c r="F1" s="3"/>
      <c r="G1" s="3"/>
    </row>
    <row r="2" spans="1:9">
      <c r="F2" s="3"/>
      <c r="G2" s="3"/>
    </row>
    <row r="3" spans="1:9">
      <c r="F3" s="3"/>
      <c r="G3" s="3"/>
    </row>
    <row r="4" spans="1:9">
      <c r="F4" s="3"/>
      <c r="G4" s="3"/>
    </row>
    <row r="5" spans="1:9">
      <c r="F5" s="3"/>
      <c r="G5" s="3"/>
    </row>
    <row r="15" spans="1:9" ht="27.75" customHeight="1">
      <c r="A15" s="497" t="s">
        <v>112</v>
      </c>
      <c r="B15" s="480"/>
      <c r="C15" s="480"/>
      <c r="D15" s="480"/>
      <c r="E15" s="480"/>
      <c r="F15" s="480"/>
      <c r="G15" s="480"/>
      <c r="H15" s="480"/>
      <c r="I15" s="480"/>
    </row>
    <row r="16" spans="1:9">
      <c r="A16" s="237"/>
      <c r="B16" s="237"/>
      <c r="C16" s="237"/>
      <c r="D16" s="237"/>
      <c r="E16" s="237"/>
      <c r="F16" s="237"/>
      <c r="G16" s="237"/>
      <c r="H16" s="237"/>
      <c r="I16" s="237"/>
    </row>
    <row r="17" spans="1:9" ht="21.75" customHeight="1">
      <c r="A17" s="449" t="s">
        <v>466</v>
      </c>
      <c r="B17" s="449"/>
      <c r="C17" s="449"/>
      <c r="D17" s="449"/>
      <c r="E17" s="449"/>
      <c r="F17" s="449"/>
      <c r="G17" s="449"/>
      <c r="H17" s="449"/>
      <c r="I17" s="449"/>
    </row>
    <row r="18" spans="1:9">
      <c r="A18" s="237"/>
      <c r="B18" s="237"/>
      <c r="C18" s="237"/>
      <c r="D18" s="237"/>
      <c r="E18" s="237"/>
      <c r="F18" s="237"/>
      <c r="G18" s="237"/>
      <c r="H18" s="237"/>
      <c r="I18" s="237"/>
    </row>
    <row r="19" spans="1:9" ht="35.25" customHeight="1">
      <c r="A19" s="239" t="s">
        <v>448</v>
      </c>
      <c r="B19" s="448" t="s">
        <v>510</v>
      </c>
      <c r="C19" s="448"/>
      <c r="D19" s="448"/>
      <c r="E19" s="448"/>
      <c r="F19" s="448"/>
      <c r="G19" s="448"/>
      <c r="H19" s="448"/>
      <c r="I19" s="448"/>
    </row>
    <row r="20" spans="1:9" ht="24.75" customHeight="1">
      <c r="A20" s="239" t="s">
        <v>588</v>
      </c>
      <c r="B20" s="448" t="s">
        <v>589</v>
      </c>
      <c r="C20" s="448"/>
      <c r="D20" s="448"/>
      <c r="E20" s="448"/>
      <c r="F20" s="448"/>
      <c r="G20" s="448"/>
      <c r="H20" s="448"/>
      <c r="I20" s="448"/>
    </row>
    <row r="21" spans="1:9" ht="15" customHeight="1">
      <c r="A21" s="239" t="s">
        <v>94</v>
      </c>
      <c r="B21" s="448" t="s">
        <v>683</v>
      </c>
      <c r="C21" s="448"/>
      <c r="D21" s="448"/>
      <c r="E21" s="448"/>
      <c r="F21" s="448"/>
      <c r="G21" s="448"/>
      <c r="H21" s="448"/>
      <c r="I21" s="448"/>
    </row>
    <row r="22" spans="1:9" ht="15" customHeight="1">
      <c r="A22" s="239" t="s">
        <v>97</v>
      </c>
      <c r="B22" s="448" t="s">
        <v>512</v>
      </c>
      <c r="C22" s="448"/>
      <c r="D22" s="448"/>
      <c r="E22" s="448"/>
      <c r="F22" s="448"/>
      <c r="G22" s="448"/>
      <c r="H22" s="448"/>
      <c r="I22" s="448"/>
    </row>
    <row r="23" spans="1:9" ht="15" customHeight="1">
      <c r="A23" s="239" t="s">
        <v>293</v>
      </c>
      <c r="B23" s="447" t="s">
        <v>669</v>
      </c>
      <c r="C23" s="447"/>
      <c r="D23" s="447"/>
      <c r="E23" s="447"/>
      <c r="F23" s="447"/>
      <c r="G23" s="447"/>
      <c r="H23" s="447"/>
      <c r="I23" s="447"/>
    </row>
    <row r="24" spans="1:9" ht="15" customHeight="1">
      <c r="A24" s="239" t="s">
        <v>294</v>
      </c>
      <c r="B24" s="448" t="s">
        <v>650</v>
      </c>
      <c r="C24" s="448"/>
      <c r="D24" s="448"/>
      <c r="E24" s="448"/>
      <c r="F24" s="448"/>
      <c r="G24" s="448"/>
      <c r="H24" s="448"/>
      <c r="I24" s="448"/>
    </row>
    <row r="25" spans="1:9" ht="15" customHeight="1">
      <c r="A25" s="239" t="s">
        <v>295</v>
      </c>
      <c r="B25" s="448" t="s">
        <v>695</v>
      </c>
      <c r="C25" s="448"/>
      <c r="D25" s="448"/>
      <c r="E25" s="448"/>
      <c r="F25" s="448"/>
      <c r="G25" s="448"/>
      <c r="H25" s="448"/>
      <c r="I25" s="448"/>
    </row>
    <row r="26" spans="1:9" ht="14.25">
      <c r="A26" s="239" t="s">
        <v>296</v>
      </c>
      <c r="B26" s="448" t="s">
        <v>514</v>
      </c>
      <c r="C26" s="448"/>
      <c r="D26" s="448"/>
      <c r="E26" s="448"/>
      <c r="F26" s="448"/>
      <c r="G26" s="448"/>
      <c r="H26" s="448"/>
      <c r="I26" s="448"/>
    </row>
    <row r="27" spans="1:9" ht="14.25">
      <c r="A27" s="239" t="s">
        <v>297</v>
      </c>
      <c r="B27" s="448" t="s">
        <v>654</v>
      </c>
      <c r="C27" s="448"/>
      <c r="D27" s="448"/>
      <c r="E27" s="448"/>
      <c r="F27" s="448"/>
      <c r="G27" s="448"/>
      <c r="H27" s="448"/>
      <c r="I27" s="448"/>
    </row>
    <row r="28" spans="1:9" ht="14.25">
      <c r="A28" s="239" t="s">
        <v>298</v>
      </c>
      <c r="B28" s="448" t="s">
        <v>665</v>
      </c>
      <c r="C28" s="448"/>
      <c r="D28" s="448"/>
      <c r="E28" s="448"/>
      <c r="F28" s="448"/>
      <c r="G28" s="448"/>
      <c r="H28" s="448"/>
      <c r="I28" s="448"/>
    </row>
    <row r="29" spans="1:9" ht="14.25">
      <c r="A29" s="239" t="s">
        <v>299</v>
      </c>
      <c r="B29" s="448" t="s">
        <v>515</v>
      </c>
      <c r="C29" s="448"/>
      <c r="D29" s="448"/>
      <c r="E29" s="448"/>
      <c r="F29" s="448"/>
      <c r="G29" s="448"/>
      <c r="H29" s="448"/>
      <c r="I29" s="448"/>
    </row>
    <row r="30" spans="1:9" ht="25.5" customHeight="1">
      <c r="A30" s="239" t="s">
        <v>450</v>
      </c>
      <c r="B30" s="448" t="s">
        <v>668</v>
      </c>
      <c r="C30" s="448"/>
      <c r="D30" s="448"/>
      <c r="E30" s="448"/>
      <c r="F30" s="448"/>
      <c r="G30" s="448"/>
      <c r="H30" s="448"/>
      <c r="I30" s="448"/>
    </row>
    <row r="31" spans="1:9" ht="26.25" customHeight="1">
      <c r="A31" s="239" t="s">
        <v>451</v>
      </c>
      <c r="B31" s="448" t="s">
        <v>516</v>
      </c>
      <c r="C31" s="448"/>
      <c r="D31" s="448"/>
      <c r="E31" s="448"/>
      <c r="F31" s="448"/>
      <c r="G31" s="448"/>
      <c r="H31" s="448"/>
      <c r="I31" s="448"/>
    </row>
    <row r="32" spans="1:9" ht="14.25">
      <c r="A32" s="239" t="s">
        <v>449</v>
      </c>
      <c r="B32" s="448" t="s">
        <v>523</v>
      </c>
      <c r="C32" s="448"/>
      <c r="D32" s="448"/>
      <c r="E32" s="448"/>
      <c r="F32" s="448"/>
      <c r="G32" s="448"/>
      <c r="H32" s="448"/>
      <c r="I32" s="448"/>
    </row>
    <row r="33" spans="1:9" ht="14.25">
      <c r="A33" s="239" t="s">
        <v>453</v>
      </c>
      <c r="B33" s="448" t="s">
        <v>524</v>
      </c>
      <c r="C33" s="448"/>
      <c r="D33" s="448"/>
      <c r="E33" s="448"/>
      <c r="F33" s="448"/>
      <c r="G33" s="448"/>
      <c r="H33" s="448"/>
      <c r="I33" s="448"/>
    </row>
    <row r="34" spans="1:9" ht="14.25">
      <c r="A34" s="239" t="s">
        <v>454</v>
      </c>
      <c r="B34" s="448" t="s">
        <v>525</v>
      </c>
      <c r="C34" s="448"/>
      <c r="D34" s="448"/>
      <c r="E34" s="448"/>
      <c r="F34" s="448"/>
      <c r="G34" s="448"/>
      <c r="H34" s="448"/>
      <c r="I34" s="448"/>
    </row>
    <row r="35" spans="1:9" ht="14.25">
      <c r="A35" s="239" t="s">
        <v>455</v>
      </c>
      <c r="B35" s="448" t="s">
        <v>696</v>
      </c>
      <c r="C35" s="448"/>
      <c r="D35" s="448"/>
      <c r="E35" s="448"/>
      <c r="F35" s="448"/>
      <c r="G35" s="448"/>
      <c r="H35" s="448"/>
      <c r="I35" s="448"/>
    </row>
    <row r="36" spans="1:9" ht="30" customHeight="1">
      <c r="A36" s="239" t="s">
        <v>456</v>
      </c>
      <c r="B36" s="448" t="s">
        <v>526</v>
      </c>
      <c r="C36" s="448"/>
      <c r="D36" s="448"/>
      <c r="E36" s="448"/>
      <c r="F36" s="448"/>
      <c r="G36" s="448"/>
      <c r="H36" s="448"/>
      <c r="I36" s="448"/>
    </row>
    <row r="37" spans="1:9" ht="20.25" customHeight="1">
      <c r="A37" s="239" t="s">
        <v>457</v>
      </c>
      <c r="B37" s="448" t="s">
        <v>521</v>
      </c>
      <c r="C37" s="448"/>
      <c r="D37" s="448"/>
      <c r="E37" s="448"/>
      <c r="F37" s="448"/>
      <c r="G37" s="448"/>
      <c r="H37" s="448"/>
      <c r="I37" s="448"/>
    </row>
    <row r="38" spans="1:9" ht="24.75" customHeight="1">
      <c r="A38" s="239" t="s">
        <v>313</v>
      </c>
      <c r="B38" s="448" t="s">
        <v>522</v>
      </c>
      <c r="C38" s="448"/>
      <c r="D38" s="448"/>
      <c r="E38" s="448"/>
      <c r="F38" s="448"/>
      <c r="G38" s="448"/>
      <c r="H38" s="448"/>
      <c r="I38" s="448"/>
    </row>
  </sheetData>
  <mergeCells count="22">
    <mergeCell ref="B38:I38"/>
    <mergeCell ref="B35:I35"/>
    <mergeCell ref="B27:I27"/>
    <mergeCell ref="B28:I28"/>
    <mergeCell ref="B29:I29"/>
    <mergeCell ref="B30:I30"/>
    <mergeCell ref="B31:I31"/>
    <mergeCell ref="B32:I32"/>
    <mergeCell ref="B33:I33"/>
    <mergeCell ref="B34:I34"/>
    <mergeCell ref="B36:I36"/>
    <mergeCell ref="B37:I37"/>
    <mergeCell ref="A15:I15"/>
    <mergeCell ref="B20:I20"/>
    <mergeCell ref="B21:I21"/>
    <mergeCell ref="B23:I23"/>
    <mergeCell ref="B26:I26"/>
    <mergeCell ref="A17:I17"/>
    <mergeCell ref="B19:I19"/>
    <mergeCell ref="B22:I22"/>
    <mergeCell ref="B24:I24"/>
    <mergeCell ref="B25:I25"/>
  </mergeCells>
  <hyperlinks>
    <hyperlink ref="A15:I15" location="'Compendio de Vivienda 2018'!F31" display="Capítulo 3: Situación de la vivienda en Costa Rica " xr:uid="{00000000-0004-0000-0E00-000000000000}"/>
    <hyperlink ref="B19:I19" location="'c12 g1'!B3" display="Total de viviendas ocupadas, total de ocupantes y promedio de ocupantes por vivienda, por región y según tipo de vivienda. 2018." xr:uid="{00000000-0004-0000-0E00-000001000000}"/>
    <hyperlink ref="B20:I20" location="'c12 g1'!C65" display="Miembros, número de ocupados e ingreso per cápita, por hogar, según quintil de ingreso per cápita del hogar. 2018." xr:uid="{00000000-0004-0000-0E00-000002000000}"/>
    <hyperlink ref="B22:I22" location="'c14'!B3" display="Viviendas ocupadas y número de ocupantes, según metros cuadrados de construcción. 2018." xr:uid="{00000000-0004-0000-0E00-000003000000}"/>
    <hyperlink ref="B24:I24" location="'c16'!B3" display="Número de viviendas por estado físico, según región. 2018." xr:uid="{00000000-0004-0000-0E00-000004000000}"/>
    <hyperlink ref="B25:I25" location="'c17'!B3" display="Total de viviendas por región y zona, según calificación de la vivienda. 2018. " xr:uid="{00000000-0004-0000-0E00-000005000000}"/>
    <hyperlink ref="B26:I26" location="'c18'!B3" display="Características de las viviendas ocupadas por región. 2018." xr:uid="{00000000-0004-0000-0E00-000006000000}"/>
    <hyperlink ref="B27:I27" location="'c19'!B3" display="Viviendas ocupadas y total de ocupantes por procedencia del agua, según región y zona. 2018." xr:uid="{00000000-0004-0000-0E00-000007000000}"/>
    <hyperlink ref="B28:I28" location="'c20'!B3" display="Viviendas ocupadas y total de ocupantes por tipo de abastecimiento de agua, según región. 2018." xr:uid="{00000000-0004-0000-0E00-000008000000}"/>
    <hyperlink ref="B29:I29" location="'c21'!B3" display="Total de viviendas ocupadas por tipo de vivienda, según sistema de eliminación de basura. 2018." xr:uid="{00000000-0004-0000-0E00-000009000000}"/>
    <hyperlink ref="B30:I30" location="'c22'!B3" display="Viviendas ocupadas y total de ocupantes por sistema de disposición de excretas, según región. 2018." xr:uid="{00000000-0004-0000-0E00-00000A000000}"/>
    <hyperlink ref="B31:I31" location="'c23'!B3" display="Viviendas ocupadas y número de ocupantes por disponibilidad de servicios básicos, según tipo de tenencia de la vivienda. 2018." xr:uid="{00000000-0004-0000-0E00-00000B000000}"/>
    <hyperlink ref="B32:I32" location="'c24'!B3" display="Total de viviendas ocupadas por tipo de vivienda, según tipo de tenencia y región. 2018." xr:uid="{00000000-0004-0000-0E00-00000C000000}"/>
    <hyperlink ref="B33:I33" location="'c25'!B3" display="Total de hogares por nivel de pobreza, según tipo de vivienda y región. 2018." xr:uid="{00000000-0004-0000-0E00-00000D000000}"/>
    <hyperlink ref="B34:I34" location="'c26'!B3" display="Total de hogares por nivel de pobreza, según tipo de tenencia de la vivienda y región. 2018." xr:uid="{00000000-0004-0000-0E00-00000E000000}"/>
    <hyperlink ref="B36:I36" location="'c28'!B3" display="Viviendas alquiladas con monto de alquiler conocido, monto promedio de alquiler e ingreso neto promedio del hogar, según región. 2018." xr:uid="{00000000-0004-0000-0E00-00000F000000}"/>
    <hyperlink ref="B37:I37" location="'c29'!B3" display="Faltante de vivienda, cuantitativo y cualitativo, por región. 2018." xr:uid="{00000000-0004-0000-0E00-000010000000}"/>
    <hyperlink ref="B38:I38" location="'c30'!B3" display="Distribución del faltante de vivienda, cuantitativo y cualitativo, por decil de ingreso total del hogar neto. 2018." xr:uid="{00000000-0004-0000-0E00-000011000000}"/>
    <hyperlink ref="B21:I21" location="'c13'!B3" display="Total de viviendas ocupadas por región, según tipo y calificación de la vivienda. 2018." xr:uid="{00000000-0004-0000-0E00-000013000000}"/>
    <hyperlink ref="B23:I23" location="'c15'!B3" display="Viviendas ocupadas por región, según metros cuadrados de construcción. 2018." xr:uid="{00000000-0004-0000-0E00-000014000000}"/>
    <hyperlink ref="B35:I35" location="'c27'!B3" display="Total de hogares por nivel de pobreza, según calificación de la vivienda y región. 2018." xr:uid="{00000000-0004-0000-0E00-000015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1:Y74"/>
  <sheetViews>
    <sheetView showGridLines="0" zoomScaleNormal="100" workbookViewId="0">
      <pane ySplit="5" topLeftCell="A6" activePane="bottomLeft" state="frozen"/>
      <selection pane="bottomLeft" activeCell="N8" sqref="N8"/>
    </sheetView>
  </sheetViews>
  <sheetFormatPr baseColWidth="10" defaultColWidth="11.42578125" defaultRowHeight="12.75"/>
  <cols>
    <col min="1" max="1" width="11.42578125" customWidth="1"/>
    <col min="2" max="2" width="48.5703125" style="3" bestFit="1" customWidth="1"/>
    <col min="3" max="3" width="16.5703125" style="3" customWidth="1"/>
    <col min="4" max="4" width="17.5703125" style="3" customWidth="1"/>
    <col min="5" max="5" width="16.28515625" style="3" customWidth="1"/>
    <col min="6" max="6" width="16.28515625" bestFit="1" customWidth="1"/>
    <col min="7" max="7" width="15.5703125" customWidth="1"/>
    <col min="8" max="8" width="16.85546875" customWidth="1"/>
    <col min="9" max="9" width="17.140625" customWidth="1"/>
    <col min="10" max="10" width="12.85546875" bestFit="1" customWidth="1"/>
    <col min="11" max="11" width="15.140625" customWidth="1"/>
    <col min="12" max="12" width="16.140625" bestFit="1" customWidth="1"/>
    <col min="13" max="13" width="14.5703125" bestFit="1" customWidth="1"/>
    <col min="14" max="14" width="11" bestFit="1" customWidth="1"/>
    <col min="15" max="16" width="16.140625" bestFit="1" customWidth="1"/>
    <col min="17" max="17" width="14.5703125" bestFit="1" customWidth="1"/>
    <col min="18" max="18" width="14.5703125" customWidth="1"/>
    <col min="19" max="19" width="14.5703125" bestFit="1" customWidth="1"/>
    <col min="20" max="20" width="16.140625" bestFit="1" customWidth="1"/>
    <col min="21" max="21" width="14.5703125" bestFit="1" customWidth="1"/>
    <col min="22" max="22" width="14.5703125" customWidth="1"/>
    <col min="23" max="23" width="14.140625" bestFit="1" customWidth="1"/>
    <col min="24" max="24" width="15.42578125" bestFit="1" customWidth="1"/>
    <col min="25" max="25" width="14.140625" bestFit="1" customWidth="1"/>
  </cols>
  <sheetData>
    <row r="1" spans="2:25" ht="21" customHeight="1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5" ht="15">
      <c r="B2" s="462" t="s">
        <v>448</v>
      </c>
      <c r="C2" s="462"/>
      <c r="D2" s="462"/>
      <c r="E2" s="462"/>
      <c r="F2" s="462"/>
      <c r="G2" s="462"/>
      <c r="H2" s="462"/>
      <c r="I2" s="462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2:25" ht="24" customHeight="1" thickBot="1">
      <c r="B3" s="482" t="s">
        <v>510</v>
      </c>
      <c r="C3" s="482"/>
      <c r="D3" s="482"/>
      <c r="E3" s="482"/>
      <c r="F3" s="482"/>
      <c r="G3" s="482"/>
      <c r="H3" s="482"/>
      <c r="I3" s="48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2:25" ht="16.5" thickTop="1" thickBot="1">
      <c r="B4" s="494" t="s">
        <v>113</v>
      </c>
      <c r="C4" s="476" t="s">
        <v>114</v>
      </c>
      <c r="D4" s="459" t="s">
        <v>115</v>
      </c>
      <c r="E4" s="460"/>
      <c r="F4" s="460"/>
      <c r="G4" s="460"/>
      <c r="H4" s="460"/>
      <c r="I4" s="461"/>
      <c r="J4" s="10"/>
      <c r="K4" s="498"/>
      <c r="L4" s="498"/>
      <c r="M4" s="498"/>
      <c r="O4" s="498"/>
      <c r="P4" s="498"/>
      <c r="Q4" s="498"/>
      <c r="R4" s="9"/>
      <c r="S4" s="498"/>
      <c r="T4" s="498"/>
      <c r="U4" s="498"/>
      <c r="V4" s="9"/>
      <c r="W4" s="498"/>
      <c r="X4" s="498"/>
      <c r="Y4" s="498"/>
    </row>
    <row r="5" spans="2:25" ht="27" thickTop="1" thickBot="1">
      <c r="B5" s="503"/>
      <c r="C5" s="477"/>
      <c r="D5" s="314" t="s">
        <v>116</v>
      </c>
      <c r="E5" s="314" t="s">
        <v>117</v>
      </c>
      <c r="F5" s="314" t="s">
        <v>118</v>
      </c>
      <c r="G5" s="314" t="s">
        <v>119</v>
      </c>
      <c r="H5" s="314" t="s">
        <v>275</v>
      </c>
      <c r="I5" s="314" t="s">
        <v>120</v>
      </c>
      <c r="J5" s="10"/>
      <c r="K5" s="41"/>
      <c r="L5" s="9"/>
      <c r="M5" s="9"/>
      <c r="O5" s="41"/>
      <c r="P5" s="9"/>
      <c r="Q5" s="9"/>
      <c r="R5" s="9"/>
      <c r="S5" s="41"/>
      <c r="T5" s="9"/>
      <c r="U5" s="9"/>
      <c r="V5" s="9"/>
      <c r="W5" s="41"/>
      <c r="X5" s="9"/>
      <c r="Y5" s="9"/>
    </row>
    <row r="6" spans="2:25" ht="16.5" thickTop="1" thickBot="1">
      <c r="B6" s="272" t="s">
        <v>39</v>
      </c>
      <c r="C6" s="252"/>
      <c r="D6" s="252"/>
      <c r="E6" s="252"/>
      <c r="F6" s="252"/>
      <c r="G6" s="252"/>
      <c r="H6" s="252"/>
      <c r="I6" s="252"/>
      <c r="J6" s="10"/>
      <c r="K6" s="10"/>
      <c r="L6" s="10"/>
      <c r="M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25" ht="16.5" thickTop="1" thickBot="1">
      <c r="B7" s="272" t="s">
        <v>121</v>
      </c>
      <c r="C7" s="413">
        <v>1540029</v>
      </c>
      <c r="D7" s="413">
        <v>949460</v>
      </c>
      <c r="E7" s="413">
        <v>118218</v>
      </c>
      <c r="F7" s="413">
        <v>92270</v>
      </c>
      <c r="G7" s="413">
        <v>123448</v>
      </c>
      <c r="H7" s="413">
        <v>137466</v>
      </c>
      <c r="I7" s="413">
        <v>119167</v>
      </c>
      <c r="J7" s="184"/>
      <c r="K7" s="30"/>
      <c r="L7" s="30"/>
      <c r="M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2:25" ht="16.5" thickTop="1" thickBot="1">
      <c r="B8" s="272" t="s">
        <v>122</v>
      </c>
      <c r="C8" s="413">
        <v>5003673</v>
      </c>
      <c r="D8" s="413">
        <v>3102787</v>
      </c>
      <c r="E8" s="413">
        <v>382913</v>
      </c>
      <c r="F8" s="413">
        <v>293808</v>
      </c>
      <c r="G8" s="413">
        <v>366414</v>
      </c>
      <c r="H8" s="413">
        <v>450258</v>
      </c>
      <c r="I8" s="413">
        <v>407493</v>
      </c>
      <c r="J8" s="184"/>
      <c r="K8" s="30"/>
      <c r="L8" s="30"/>
      <c r="M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 ht="16.5" thickTop="1" thickBot="1">
      <c r="B9" s="272" t="s">
        <v>123</v>
      </c>
      <c r="C9" s="285">
        <f t="shared" ref="C9:I9" si="0">+C8/C7</f>
        <v>3.249077127768373</v>
      </c>
      <c r="D9" s="285">
        <f t="shared" si="0"/>
        <v>3.2679491500431825</v>
      </c>
      <c r="E9" s="285">
        <f t="shared" si="0"/>
        <v>3.2390414319308398</v>
      </c>
      <c r="F9" s="285">
        <f t="shared" si="0"/>
        <v>3.1842202232578303</v>
      </c>
      <c r="G9" s="285">
        <f t="shared" si="0"/>
        <v>2.9681647333290129</v>
      </c>
      <c r="H9" s="285">
        <f t="shared" si="0"/>
        <v>3.2754135568067739</v>
      </c>
      <c r="I9" s="285">
        <f t="shared" si="0"/>
        <v>3.4195121132528299</v>
      </c>
      <c r="J9" s="184"/>
      <c r="K9" s="42"/>
      <c r="L9" s="42"/>
      <c r="M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2:25" ht="16.5" thickTop="1" thickBot="1">
      <c r="B10" s="272" t="s">
        <v>124</v>
      </c>
      <c r="C10" s="285"/>
      <c r="D10" s="285"/>
      <c r="E10" s="285"/>
      <c r="F10" s="285"/>
      <c r="G10" s="285"/>
      <c r="H10" s="285"/>
      <c r="I10" s="285"/>
      <c r="J10" s="184"/>
      <c r="K10" s="42"/>
      <c r="L10" s="10"/>
      <c r="M10" s="4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2:25" ht="16.5" thickTop="1" thickBot="1">
      <c r="B11" s="272" t="s">
        <v>153</v>
      </c>
      <c r="C11" s="285"/>
      <c r="D11" s="285"/>
      <c r="E11" s="285"/>
      <c r="F11" s="285"/>
      <c r="G11" s="285"/>
      <c r="H11" s="285"/>
      <c r="I11" s="285"/>
      <c r="J11" s="184"/>
      <c r="K11" s="42"/>
      <c r="L11" s="10"/>
      <c r="M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2:25" ht="16.5" thickTop="1" thickBot="1">
      <c r="B12" s="272" t="s">
        <v>121</v>
      </c>
      <c r="C12" s="413">
        <v>45904</v>
      </c>
      <c r="D12" s="413">
        <v>44031</v>
      </c>
      <c r="E12" s="413">
        <v>558</v>
      </c>
      <c r="F12" s="413">
        <v>377</v>
      </c>
      <c r="G12" s="413">
        <v>393</v>
      </c>
      <c r="H12" s="413">
        <v>394</v>
      </c>
      <c r="I12" s="413">
        <v>151</v>
      </c>
      <c r="J12" s="184"/>
      <c r="K12" s="30"/>
      <c r="L12" s="30"/>
      <c r="M12" s="30"/>
      <c r="O12" s="30"/>
      <c r="P12" s="30"/>
      <c r="Q12" s="30"/>
      <c r="R12" s="43"/>
      <c r="S12" s="30"/>
      <c r="T12" s="30"/>
      <c r="U12" s="30"/>
      <c r="V12" s="30"/>
      <c r="W12" s="30"/>
      <c r="X12" s="30"/>
      <c r="Y12" s="30"/>
    </row>
    <row r="13" spans="2:25" ht="16.5" thickTop="1" thickBot="1">
      <c r="B13" s="272" t="s">
        <v>122</v>
      </c>
      <c r="C13" s="413">
        <v>135663</v>
      </c>
      <c r="D13" s="413">
        <v>130431</v>
      </c>
      <c r="E13" s="413">
        <v>1278</v>
      </c>
      <c r="F13" s="413">
        <v>1301</v>
      </c>
      <c r="G13" s="413">
        <v>655</v>
      </c>
      <c r="H13" s="413">
        <v>1847</v>
      </c>
      <c r="I13" s="413">
        <v>151</v>
      </c>
      <c r="J13" s="184"/>
      <c r="K13" s="30"/>
      <c r="L13" s="30"/>
      <c r="M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2:25" ht="16.5" thickTop="1" thickBot="1">
      <c r="B14" s="272" t="s">
        <v>123</v>
      </c>
      <c r="C14" s="285">
        <f>+C13/C12</f>
        <v>2.9553633670268384</v>
      </c>
      <c r="D14" s="285">
        <f>+D13/D12</f>
        <v>2.9622538665939908</v>
      </c>
      <c r="E14" s="285" t="s">
        <v>156</v>
      </c>
      <c r="F14" s="285">
        <f>+F13/F12</f>
        <v>3.4509283819628647</v>
      </c>
      <c r="G14" s="285">
        <f>+G13/G12</f>
        <v>1.6666666666666667</v>
      </c>
      <c r="H14" s="285" t="s">
        <v>156</v>
      </c>
      <c r="I14" s="285" t="s">
        <v>156</v>
      </c>
      <c r="J14" s="184"/>
      <c r="K14" s="42"/>
      <c r="L14" s="42"/>
      <c r="M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</row>
    <row r="15" spans="2:25" ht="16.5" thickTop="1" thickBot="1">
      <c r="B15" s="272" t="s">
        <v>125</v>
      </c>
      <c r="C15" s="252"/>
      <c r="D15" s="252"/>
      <c r="E15" s="252"/>
      <c r="F15" s="252"/>
      <c r="G15" s="252"/>
      <c r="H15" s="252"/>
      <c r="I15" s="252"/>
      <c r="J15" s="184"/>
      <c r="K15" s="10"/>
      <c r="L15" s="43"/>
      <c r="M15" s="43"/>
      <c r="O15" s="10"/>
      <c r="P15" s="43"/>
      <c r="Q15" s="43"/>
      <c r="R15" s="43"/>
      <c r="S15" s="10"/>
      <c r="T15" s="43"/>
      <c r="U15" s="43"/>
      <c r="V15" s="43"/>
      <c r="W15" s="10"/>
      <c r="X15" s="43"/>
      <c r="Y15" s="43"/>
    </row>
    <row r="16" spans="2:25" ht="16.5" thickTop="1" thickBot="1">
      <c r="B16" s="272" t="s">
        <v>121</v>
      </c>
      <c r="C16" s="413">
        <v>926944</v>
      </c>
      <c r="D16" s="413">
        <v>454605</v>
      </c>
      <c r="E16" s="413">
        <v>85071</v>
      </c>
      <c r="F16" s="413">
        <v>63085</v>
      </c>
      <c r="G16" s="413">
        <v>107111</v>
      </c>
      <c r="H16" s="413">
        <v>117644</v>
      </c>
      <c r="I16" s="413">
        <v>99428</v>
      </c>
      <c r="J16" s="184"/>
      <c r="K16" s="30"/>
      <c r="L16" s="30"/>
      <c r="M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2:25" ht="16.5" thickTop="1" thickBot="1">
      <c r="B17" s="272" t="s">
        <v>122</v>
      </c>
      <c r="C17" s="413">
        <v>2998539</v>
      </c>
      <c r="D17" s="413">
        <v>1481807</v>
      </c>
      <c r="E17" s="413">
        <v>273184</v>
      </c>
      <c r="F17" s="413">
        <v>198835</v>
      </c>
      <c r="G17" s="413">
        <v>322232</v>
      </c>
      <c r="H17" s="413">
        <v>384710</v>
      </c>
      <c r="I17" s="413">
        <v>337771</v>
      </c>
      <c r="J17" s="184"/>
      <c r="K17" s="30"/>
      <c r="L17" s="30"/>
      <c r="M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2:25" ht="16.5" thickTop="1" thickBot="1">
      <c r="B18" s="272" t="s">
        <v>123</v>
      </c>
      <c r="C18" s="285">
        <f>+C17/C16</f>
        <v>3.2348653208823834</v>
      </c>
      <c r="D18" s="285">
        <f t="shared" ref="D18:I18" si="1">+D17/D16</f>
        <v>3.2595483991597103</v>
      </c>
      <c r="E18" s="285">
        <f t="shared" si="1"/>
        <v>3.2112470759718352</v>
      </c>
      <c r="F18" s="285">
        <f t="shared" si="1"/>
        <v>3.1518586034715068</v>
      </c>
      <c r="G18" s="285">
        <f t="shared" si="1"/>
        <v>3.0083931622335709</v>
      </c>
      <c r="H18" s="285">
        <f t="shared" si="1"/>
        <v>3.2701200231206013</v>
      </c>
      <c r="I18" s="285">
        <f t="shared" si="1"/>
        <v>3.397141650239369</v>
      </c>
      <c r="J18" s="184"/>
      <c r="K18" s="30"/>
      <c r="L18" s="42"/>
      <c r="M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2:25" ht="16.5" thickTop="1" thickBot="1">
      <c r="B19" s="272" t="s">
        <v>126</v>
      </c>
      <c r="C19" s="252"/>
      <c r="D19" s="252"/>
      <c r="E19" s="252"/>
      <c r="F19" s="252"/>
      <c r="G19" s="252"/>
      <c r="H19" s="252"/>
      <c r="I19" s="252"/>
      <c r="J19" s="184"/>
      <c r="K19" s="10"/>
      <c r="L19" s="10"/>
      <c r="M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2:25" ht="16.5" thickTop="1" thickBot="1">
      <c r="B20" s="272" t="s">
        <v>121</v>
      </c>
      <c r="C20" s="413">
        <v>522492</v>
      </c>
      <c r="D20" s="413">
        <v>413582</v>
      </c>
      <c r="E20" s="413">
        <v>30595</v>
      </c>
      <c r="F20" s="413">
        <v>27596</v>
      </c>
      <c r="G20" s="413">
        <v>13855</v>
      </c>
      <c r="H20" s="413">
        <v>18434</v>
      </c>
      <c r="I20" s="413">
        <v>18430</v>
      </c>
      <c r="J20" s="184"/>
      <c r="K20" s="30"/>
      <c r="L20" s="30"/>
      <c r="M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</row>
    <row r="21" spans="2:25" ht="16.5" thickTop="1" thickBot="1">
      <c r="B21" s="272" t="s">
        <v>122</v>
      </c>
      <c r="C21" s="413">
        <v>1745637</v>
      </c>
      <c r="D21" s="413">
        <v>1386957</v>
      </c>
      <c r="E21" s="413">
        <v>103791</v>
      </c>
      <c r="F21" s="413">
        <v>89839</v>
      </c>
      <c r="G21" s="413">
        <v>39227</v>
      </c>
      <c r="H21" s="413">
        <v>60242</v>
      </c>
      <c r="I21" s="413">
        <v>65581</v>
      </c>
      <c r="J21" s="184"/>
      <c r="K21" s="30"/>
      <c r="L21" s="30"/>
      <c r="M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</row>
    <row r="22" spans="2:25" ht="16.5" thickTop="1" thickBot="1">
      <c r="B22" s="272" t="s">
        <v>123</v>
      </c>
      <c r="C22" s="285">
        <f>+C21/C20</f>
        <v>3.3409832112262006</v>
      </c>
      <c r="D22" s="285">
        <f t="shared" ref="D22:I22" si="2">+D21/D20</f>
        <v>3.3535236059596403</v>
      </c>
      <c r="E22" s="285">
        <f t="shared" si="2"/>
        <v>3.3924170616113742</v>
      </c>
      <c r="F22" s="285">
        <f t="shared" si="2"/>
        <v>3.2555080446441513</v>
      </c>
      <c r="G22" s="285">
        <f t="shared" si="2"/>
        <v>2.8312522555034283</v>
      </c>
      <c r="H22" s="285">
        <f t="shared" si="2"/>
        <v>3.2679830747531735</v>
      </c>
      <c r="I22" s="285">
        <f t="shared" si="2"/>
        <v>3.5583830710797613</v>
      </c>
      <c r="J22" s="184"/>
      <c r="K22" s="42"/>
      <c r="L22" s="42"/>
      <c r="M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</row>
    <row r="23" spans="2:25" ht="16.5" thickTop="1" thickBot="1">
      <c r="B23" s="272" t="s">
        <v>127</v>
      </c>
      <c r="C23" s="252"/>
      <c r="D23" s="252"/>
      <c r="E23" s="252"/>
      <c r="F23" s="252"/>
      <c r="G23" s="252"/>
      <c r="H23" s="252"/>
      <c r="I23" s="252"/>
      <c r="J23" s="184"/>
      <c r="K23" s="42"/>
      <c r="L23" s="10"/>
      <c r="M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2:25" ht="16.5" thickTop="1" thickBot="1">
      <c r="B24" s="272" t="s">
        <v>121</v>
      </c>
      <c r="C24" s="413">
        <v>37288</v>
      </c>
      <c r="D24" s="413">
        <v>32519</v>
      </c>
      <c r="E24" s="413">
        <v>1457</v>
      </c>
      <c r="F24" s="413">
        <v>618</v>
      </c>
      <c r="G24" s="413">
        <v>1608</v>
      </c>
      <c r="H24" s="413">
        <v>750</v>
      </c>
      <c r="I24" s="413">
        <v>336</v>
      </c>
      <c r="J24" s="184"/>
      <c r="K24" s="30"/>
      <c r="L24" s="30"/>
      <c r="M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</row>
    <row r="25" spans="2:25" ht="16.5" thickTop="1" thickBot="1">
      <c r="B25" s="272" t="s">
        <v>122</v>
      </c>
      <c r="C25" s="413">
        <v>99708</v>
      </c>
      <c r="D25" s="413">
        <v>88641</v>
      </c>
      <c r="E25" s="413">
        <v>3037</v>
      </c>
      <c r="F25" s="413">
        <v>1749</v>
      </c>
      <c r="G25" s="413">
        <v>3338</v>
      </c>
      <c r="H25" s="413">
        <v>2117</v>
      </c>
      <c r="I25" s="413">
        <v>826</v>
      </c>
      <c r="J25" s="184"/>
      <c r="K25" s="30"/>
      <c r="L25" s="30"/>
      <c r="M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</row>
    <row r="26" spans="2:25" ht="16.5" thickTop="1" thickBot="1">
      <c r="B26" s="272" t="s">
        <v>123</v>
      </c>
      <c r="C26" s="285">
        <f>+C25/C24</f>
        <v>2.6739969963527139</v>
      </c>
      <c r="D26" s="285">
        <f t="shared" ref="D26:I26" si="3">+D25/D24</f>
        <v>2.7258218272394599</v>
      </c>
      <c r="E26" s="285">
        <f t="shared" si="3"/>
        <v>2.0844200411805081</v>
      </c>
      <c r="F26" s="285">
        <f t="shared" si="3"/>
        <v>2.8300970873786406</v>
      </c>
      <c r="G26" s="285">
        <f t="shared" si="3"/>
        <v>2.0758706467661692</v>
      </c>
      <c r="H26" s="285">
        <f t="shared" si="3"/>
        <v>2.8226666666666667</v>
      </c>
      <c r="I26" s="285">
        <f t="shared" si="3"/>
        <v>2.4583333333333335</v>
      </c>
      <c r="J26" s="184"/>
      <c r="K26" s="42"/>
      <c r="L26" s="42"/>
      <c r="M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</row>
    <row r="27" spans="2:25" ht="16.5" thickTop="1" thickBot="1">
      <c r="B27" s="272" t="s">
        <v>442</v>
      </c>
      <c r="C27" s="252"/>
      <c r="D27" s="252"/>
      <c r="E27" s="252"/>
      <c r="F27" s="252"/>
      <c r="G27" s="252"/>
      <c r="H27" s="252"/>
      <c r="I27" s="252"/>
      <c r="J27" s="184"/>
      <c r="K27" s="10"/>
      <c r="L27" s="10"/>
      <c r="M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ht="16.5" thickTop="1" thickBot="1">
      <c r="B28" s="272" t="s">
        <v>121</v>
      </c>
      <c r="C28" s="413">
        <v>1349</v>
      </c>
      <c r="D28" s="413">
        <v>1232</v>
      </c>
      <c r="E28" s="413">
        <v>117</v>
      </c>
      <c r="F28" s="252" t="s">
        <v>156</v>
      </c>
      <c r="G28" s="252" t="s">
        <v>156</v>
      </c>
      <c r="H28" s="252" t="s">
        <v>156</v>
      </c>
      <c r="I28" s="252" t="s">
        <v>156</v>
      </c>
      <c r="J28" s="184"/>
      <c r="K28" s="10"/>
      <c r="L28" s="10"/>
      <c r="M28" s="30"/>
      <c r="O28" s="10"/>
      <c r="P28" s="10"/>
      <c r="Q28" s="30"/>
      <c r="R28" s="30"/>
      <c r="S28" s="10"/>
      <c r="T28" s="10"/>
      <c r="U28" s="30"/>
      <c r="V28" s="30"/>
      <c r="W28" s="44"/>
      <c r="X28" s="44"/>
      <c r="Y28" s="44"/>
    </row>
    <row r="29" spans="2:25" ht="16.5" thickTop="1" thickBot="1">
      <c r="B29" s="272" t="s">
        <v>122</v>
      </c>
      <c r="C29" s="413">
        <v>2511</v>
      </c>
      <c r="D29" s="413">
        <v>2160</v>
      </c>
      <c r="E29" s="413">
        <v>351</v>
      </c>
      <c r="F29" s="252" t="s">
        <v>156</v>
      </c>
      <c r="G29" s="252" t="s">
        <v>156</v>
      </c>
      <c r="H29" s="252" t="s">
        <v>156</v>
      </c>
      <c r="I29" s="252" t="s">
        <v>156</v>
      </c>
      <c r="J29" s="184"/>
      <c r="K29" s="10"/>
      <c r="L29" s="10"/>
      <c r="M29" s="30"/>
      <c r="O29" s="10"/>
      <c r="P29" s="10"/>
      <c r="Q29" s="30"/>
      <c r="R29" s="30"/>
      <c r="S29" s="10"/>
      <c r="T29" s="10"/>
      <c r="U29" s="30"/>
      <c r="V29" s="30"/>
      <c r="W29" s="44"/>
      <c r="X29" s="44"/>
      <c r="Y29" s="44"/>
    </row>
    <row r="30" spans="2:25" ht="16.5" thickTop="1" thickBot="1">
      <c r="B30" s="272" t="s">
        <v>123</v>
      </c>
      <c r="C30" s="285">
        <f>+C29/C28</f>
        <v>1.8613787991104522</v>
      </c>
      <c r="D30" s="285">
        <f>+D29/D28</f>
        <v>1.7532467532467533</v>
      </c>
      <c r="E30" s="285">
        <f>+E29/E28</f>
        <v>3</v>
      </c>
      <c r="F30" s="285" t="s">
        <v>156</v>
      </c>
      <c r="G30" s="285" t="s">
        <v>156</v>
      </c>
      <c r="H30" s="285" t="s">
        <v>156</v>
      </c>
      <c r="I30" s="285" t="s">
        <v>156</v>
      </c>
      <c r="J30" s="184"/>
      <c r="K30" s="42"/>
      <c r="L30" s="42"/>
      <c r="M30" s="42"/>
      <c r="O30" s="42"/>
      <c r="P30" s="42"/>
      <c r="Q30" s="42"/>
      <c r="R30" s="42"/>
      <c r="S30" s="42"/>
      <c r="T30" s="42"/>
      <c r="U30" s="42"/>
      <c r="V30" s="42"/>
      <c r="W30" s="44"/>
      <c r="X30" s="44"/>
      <c r="Y30" s="44"/>
    </row>
    <row r="31" spans="2:25" ht="16.5" thickTop="1" thickBot="1">
      <c r="B31" s="272" t="s">
        <v>129</v>
      </c>
      <c r="C31" s="252"/>
      <c r="D31" s="252"/>
      <c r="E31" s="252"/>
      <c r="F31" s="252"/>
      <c r="G31" s="252"/>
      <c r="H31" s="252"/>
      <c r="I31" s="252"/>
      <c r="J31" s="184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4"/>
      <c r="X31" s="44"/>
      <c r="Y31" s="44"/>
    </row>
    <row r="32" spans="2:25" ht="16.5" thickTop="1" thickBot="1">
      <c r="B32" s="272" t="s">
        <v>121</v>
      </c>
      <c r="C32" s="413">
        <v>6052</v>
      </c>
      <c r="D32" s="413">
        <v>3491</v>
      </c>
      <c r="E32" s="413">
        <v>420</v>
      </c>
      <c r="F32" s="413">
        <v>594</v>
      </c>
      <c r="G32" s="413">
        <v>481</v>
      </c>
      <c r="H32" s="413">
        <v>244</v>
      </c>
      <c r="I32" s="413">
        <v>822</v>
      </c>
      <c r="J32" s="184"/>
      <c r="K32" s="42"/>
      <c r="L32" s="42"/>
      <c r="M32" s="42"/>
      <c r="O32" s="42"/>
      <c r="P32" s="42"/>
      <c r="Q32" s="42"/>
      <c r="R32" s="42"/>
      <c r="S32" s="42"/>
      <c r="T32" s="42"/>
      <c r="U32" s="42"/>
      <c r="V32" s="42"/>
      <c r="W32" s="44"/>
      <c r="X32" s="44"/>
      <c r="Y32" s="44"/>
    </row>
    <row r="33" spans="2:25" ht="16.5" thickTop="1" thickBot="1">
      <c r="B33" s="272" t="s">
        <v>122</v>
      </c>
      <c r="C33" s="413">
        <v>21615</v>
      </c>
      <c r="D33" s="413">
        <v>12791</v>
      </c>
      <c r="E33" s="413">
        <v>1272</v>
      </c>
      <c r="F33" s="413">
        <v>2084</v>
      </c>
      <c r="G33" s="413">
        <v>962</v>
      </c>
      <c r="H33" s="413">
        <v>1342</v>
      </c>
      <c r="I33" s="413">
        <v>3164</v>
      </c>
      <c r="J33" s="184"/>
      <c r="K33" s="42"/>
      <c r="L33" s="42"/>
      <c r="M33" s="42"/>
      <c r="O33" s="42"/>
      <c r="P33" s="42"/>
      <c r="Q33" s="42"/>
      <c r="R33" s="42"/>
      <c r="S33" s="42"/>
      <c r="T33" s="42"/>
      <c r="U33" s="42"/>
      <c r="V33" s="42"/>
      <c r="W33" s="44"/>
      <c r="X33" s="44"/>
      <c r="Y33" s="44"/>
    </row>
    <row r="34" spans="2:25" ht="16.5" thickTop="1" thickBot="1">
      <c r="B34" s="272" t="s">
        <v>123</v>
      </c>
      <c r="C34" s="285">
        <f t="shared" ref="C34:I34" si="4">+C33/C32</f>
        <v>3.5715465961665567</v>
      </c>
      <c r="D34" s="285">
        <f t="shared" si="4"/>
        <v>3.6639931251790316</v>
      </c>
      <c r="E34" s="285">
        <f t="shared" si="4"/>
        <v>3.0285714285714285</v>
      </c>
      <c r="F34" s="285">
        <f t="shared" si="4"/>
        <v>3.5084175084175082</v>
      </c>
      <c r="G34" s="285">
        <f t="shared" si="4"/>
        <v>2</v>
      </c>
      <c r="H34" s="285">
        <f t="shared" si="4"/>
        <v>5.5</v>
      </c>
      <c r="I34" s="285">
        <f t="shared" si="4"/>
        <v>3.8491484184914841</v>
      </c>
      <c r="J34" s="184"/>
      <c r="K34" s="42"/>
      <c r="L34" s="42"/>
      <c r="M34" s="42"/>
      <c r="O34" s="42"/>
      <c r="P34" s="42"/>
      <c r="Q34" s="42"/>
      <c r="R34" s="42"/>
      <c r="S34" s="42"/>
      <c r="T34" s="42"/>
      <c r="U34" s="42"/>
      <c r="V34" s="42"/>
      <c r="W34" s="44"/>
      <c r="X34" s="44"/>
      <c r="Y34" s="44"/>
    </row>
    <row r="35" spans="2:25" ht="16.5" thickTop="1" thickBot="1">
      <c r="B35" s="207"/>
      <c r="C35" s="206"/>
      <c r="D35" s="206"/>
      <c r="E35" s="206"/>
      <c r="F35" s="206"/>
      <c r="G35" s="206"/>
      <c r="H35" s="206"/>
      <c r="I35" s="206"/>
      <c r="J35" s="184"/>
      <c r="K35" s="42"/>
      <c r="L35" s="42"/>
      <c r="M35" s="42"/>
      <c r="O35" s="42"/>
      <c r="P35" s="42"/>
      <c r="Q35" s="42"/>
      <c r="R35" s="42"/>
      <c r="S35" s="42"/>
      <c r="T35" s="42"/>
      <c r="U35" s="42"/>
      <c r="V35" s="42"/>
      <c r="W35" s="44"/>
      <c r="X35" s="44"/>
      <c r="Y35" s="44"/>
    </row>
    <row r="36" spans="2:25" ht="15" thickTop="1" thickBot="1">
      <c r="B36" s="466" t="s">
        <v>511</v>
      </c>
      <c r="C36" s="467"/>
      <c r="D36" s="467"/>
      <c r="E36" s="467"/>
      <c r="F36" s="467"/>
      <c r="G36" s="467"/>
      <c r="H36" s="467"/>
      <c r="I36" s="467"/>
      <c r="J36" s="1"/>
      <c r="K36" s="1"/>
      <c r="L36" s="1"/>
      <c r="M36" s="1"/>
    </row>
    <row r="37" spans="2:25" ht="14.25" thickTop="1" thickBot="1">
      <c r="B37" s="499"/>
      <c r="C37" s="500"/>
      <c r="D37" s="500"/>
      <c r="E37" s="500"/>
      <c r="F37" s="500"/>
      <c r="G37" s="500"/>
      <c r="H37" s="500"/>
      <c r="I37" s="500"/>
    </row>
    <row r="38" spans="2:25" ht="13.5" thickTop="1">
      <c r="C38" s="183"/>
      <c r="G38" s="202"/>
      <c r="H38" s="202"/>
      <c r="I38" s="202"/>
      <c r="J38" s="202"/>
      <c r="K38" s="202"/>
      <c r="L38" s="202"/>
    </row>
    <row r="39" spans="2:25">
      <c r="C39" s="183"/>
    </row>
    <row r="65" spans="2:12">
      <c r="C65" s="288" t="s">
        <v>694</v>
      </c>
    </row>
    <row r="66" spans="2:12" ht="13.5" thickBot="1">
      <c r="L66" s="45"/>
    </row>
    <row r="67" spans="2:12" ht="14.25" thickTop="1" thickBot="1">
      <c r="B67" s="501"/>
      <c r="C67" s="502"/>
      <c r="D67" s="502"/>
      <c r="E67" s="502"/>
      <c r="F67" s="502"/>
      <c r="G67" s="502"/>
    </row>
    <row r="68" spans="2:12" ht="13.5" thickTop="1"/>
    <row r="69" spans="2:12" ht="15.75" thickBot="1">
      <c r="B69" s="462" t="s">
        <v>587</v>
      </c>
      <c r="C69" s="462"/>
      <c r="D69" s="462"/>
      <c r="E69" s="462"/>
      <c r="F69" s="462"/>
      <c r="G69" s="462"/>
    </row>
    <row r="70" spans="2:12" ht="14.25" customHeight="1" thickTop="1" thickBot="1">
      <c r="B70" s="494" t="s">
        <v>130</v>
      </c>
      <c r="C70" s="504" t="s">
        <v>640</v>
      </c>
      <c r="D70" s="505"/>
      <c r="E70" s="505"/>
      <c r="F70" s="505"/>
      <c r="G70" s="506"/>
      <c r="H70" s="29"/>
    </row>
    <row r="71" spans="2:12" ht="14.25" thickTop="1" thickBot="1">
      <c r="B71" s="503"/>
      <c r="C71" s="314" t="s">
        <v>486</v>
      </c>
      <c r="D71" s="314" t="s">
        <v>487</v>
      </c>
      <c r="E71" s="314" t="s">
        <v>488</v>
      </c>
      <c r="F71" s="314" t="s">
        <v>489</v>
      </c>
      <c r="G71" s="314" t="s">
        <v>490</v>
      </c>
    </row>
    <row r="72" spans="2:12" ht="14.25" thickTop="1" thickBot="1">
      <c r="B72" s="244" t="s">
        <v>542</v>
      </c>
      <c r="C72" s="286">
        <v>3.5</v>
      </c>
      <c r="D72" s="286">
        <v>3.52</v>
      </c>
      <c r="E72" s="286">
        <v>3.32</v>
      </c>
      <c r="F72" s="286">
        <v>3.03</v>
      </c>
      <c r="G72" s="286">
        <v>2.6</v>
      </c>
    </row>
    <row r="73" spans="2:12" ht="14.25" thickTop="1" thickBot="1">
      <c r="B73" s="244" t="s">
        <v>543</v>
      </c>
      <c r="C73" s="286">
        <v>0.75</v>
      </c>
      <c r="D73" s="286">
        <v>1.18</v>
      </c>
      <c r="E73" s="286">
        <v>1.53</v>
      </c>
      <c r="F73" s="286">
        <v>1.68</v>
      </c>
      <c r="G73" s="286">
        <v>1.61</v>
      </c>
    </row>
    <row r="74" spans="2:12" ht="13.5" thickTop="1">
      <c r="B74" s="277" t="s">
        <v>544</v>
      </c>
      <c r="C74" s="287">
        <v>58527</v>
      </c>
      <c r="D74" s="287">
        <v>130944</v>
      </c>
      <c r="E74" s="287">
        <v>218965</v>
      </c>
      <c r="F74" s="287">
        <v>375882</v>
      </c>
      <c r="G74" s="287">
        <v>1063425</v>
      </c>
    </row>
  </sheetData>
  <mergeCells count="15">
    <mergeCell ref="B70:B71"/>
    <mergeCell ref="C70:G70"/>
    <mergeCell ref="B69:G69"/>
    <mergeCell ref="S4:U4"/>
    <mergeCell ref="B2:I2"/>
    <mergeCell ref="B3:I3"/>
    <mergeCell ref="W4:Y4"/>
    <mergeCell ref="K4:M4"/>
    <mergeCell ref="B37:I37"/>
    <mergeCell ref="B67:G67"/>
    <mergeCell ref="B36:I36"/>
    <mergeCell ref="B4:B5"/>
    <mergeCell ref="C4:C5"/>
    <mergeCell ref="D4:I4"/>
    <mergeCell ref="O4:Q4"/>
  </mergeCells>
  <hyperlinks>
    <hyperlink ref="B3:I3" location="'Capitulo 3'!B19" display="Total de viviendas ocupadas, total de ocupantes y promedio de ocupantes por vivienda, por región y según tipo de vivienda. 2018." xr:uid="{00000000-0004-0000-0F00-000000000000}"/>
    <hyperlink ref="C65" location="'Capitulo 3'!B20" display="'Capitulo 3'!B20" xr:uid="{00000000-0004-0000-0F00-000001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1:Y88"/>
  <sheetViews>
    <sheetView showGridLines="0" zoomScaleNormal="100" workbookViewId="0">
      <pane ySplit="5" topLeftCell="A6" activePane="bottomLeft" state="frozen"/>
      <selection pane="bottomLeft" activeCell="L10" sqref="L10"/>
    </sheetView>
  </sheetViews>
  <sheetFormatPr baseColWidth="10" defaultColWidth="11.42578125" defaultRowHeight="12.75"/>
  <cols>
    <col min="1" max="1" width="11.42578125" customWidth="1"/>
    <col min="2" max="2" width="48.5703125" style="3" bestFit="1" customWidth="1"/>
    <col min="3" max="3" width="16.5703125" style="3" customWidth="1"/>
    <col min="4" max="4" width="17.5703125" style="3" customWidth="1"/>
    <col min="5" max="5" width="16.28515625" style="3" customWidth="1"/>
    <col min="6" max="6" width="16.28515625" bestFit="1" customWidth="1"/>
    <col min="7" max="7" width="15.5703125" customWidth="1"/>
    <col min="8" max="8" width="16.85546875" customWidth="1"/>
    <col min="9" max="9" width="17.140625" customWidth="1"/>
    <col min="10" max="10" width="12.85546875" bestFit="1" customWidth="1"/>
    <col min="11" max="11" width="15.140625" customWidth="1"/>
    <col min="12" max="12" width="16.140625" bestFit="1" customWidth="1"/>
    <col min="13" max="13" width="14.5703125" bestFit="1" customWidth="1"/>
    <col min="14" max="14" width="11" bestFit="1" customWidth="1"/>
    <col min="15" max="16" width="16.140625" bestFit="1" customWidth="1"/>
    <col min="17" max="17" width="14.5703125" bestFit="1" customWidth="1"/>
    <col min="18" max="18" width="14.5703125" customWidth="1"/>
    <col min="19" max="19" width="14.5703125" bestFit="1" customWidth="1"/>
    <col min="20" max="20" width="16.140625" bestFit="1" customWidth="1"/>
    <col min="21" max="21" width="14.5703125" bestFit="1" customWidth="1"/>
    <col min="22" max="22" width="14.5703125" customWidth="1"/>
    <col min="23" max="23" width="14.140625" bestFit="1" customWidth="1"/>
    <col min="24" max="24" width="15.42578125" bestFit="1" customWidth="1"/>
    <col min="25" max="25" width="14.140625" bestFit="1" customWidth="1"/>
  </cols>
  <sheetData>
    <row r="1" spans="2:25" ht="21" customHeight="1">
      <c r="B1" s="11"/>
      <c r="C1" s="11"/>
      <c r="D1" s="1"/>
      <c r="E1" s="1"/>
      <c r="F1" s="1"/>
      <c r="G1" s="1"/>
      <c r="H1" s="1"/>
      <c r="I1" s="1"/>
      <c r="J1" s="1"/>
      <c r="K1" s="1"/>
      <c r="L1" s="1"/>
      <c r="M1" s="1"/>
    </row>
    <row r="2" spans="2:25" ht="15">
      <c r="B2" s="462" t="s">
        <v>94</v>
      </c>
      <c r="C2" s="462"/>
      <c r="D2" s="462"/>
      <c r="E2" s="462"/>
      <c r="F2" s="462"/>
      <c r="G2" s="462"/>
      <c r="H2" s="462"/>
      <c r="I2" s="462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</row>
    <row r="3" spans="2:25" ht="24" customHeight="1" thickBot="1">
      <c r="B3" s="482" t="s">
        <v>683</v>
      </c>
      <c r="C3" s="482"/>
      <c r="D3" s="482"/>
      <c r="E3" s="482"/>
      <c r="F3" s="482"/>
      <c r="G3" s="482"/>
      <c r="H3" s="482"/>
      <c r="I3" s="482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</row>
    <row r="4" spans="2:25" ht="16.5" thickTop="1" thickBot="1">
      <c r="B4" s="494" t="s">
        <v>672</v>
      </c>
      <c r="C4" s="476" t="s">
        <v>114</v>
      </c>
      <c r="D4" s="459" t="s">
        <v>115</v>
      </c>
      <c r="E4" s="460"/>
      <c r="F4" s="460"/>
      <c r="G4" s="460"/>
      <c r="H4" s="460"/>
      <c r="I4" s="461"/>
      <c r="J4" s="10"/>
      <c r="K4" s="498"/>
      <c r="L4" s="498"/>
      <c r="M4" s="498"/>
      <c r="O4" s="498"/>
      <c r="P4" s="498"/>
      <c r="Q4" s="498"/>
      <c r="R4" s="9"/>
      <c r="S4" s="498"/>
      <c r="T4" s="498"/>
      <c r="U4" s="498"/>
      <c r="V4" s="9"/>
      <c r="W4" s="498"/>
      <c r="X4" s="498"/>
      <c r="Y4" s="498"/>
    </row>
    <row r="5" spans="2:25" ht="27" thickTop="1" thickBot="1">
      <c r="B5" s="503"/>
      <c r="C5" s="477"/>
      <c r="D5" s="314" t="s">
        <v>116</v>
      </c>
      <c r="E5" s="314" t="s">
        <v>117</v>
      </c>
      <c r="F5" s="314" t="s">
        <v>118</v>
      </c>
      <c r="G5" s="314" t="s">
        <v>119</v>
      </c>
      <c r="H5" s="314" t="s">
        <v>275</v>
      </c>
      <c r="I5" s="314" t="s">
        <v>120</v>
      </c>
      <c r="J5" s="10"/>
      <c r="K5" s="41"/>
      <c r="L5" s="9"/>
      <c r="M5" s="9"/>
      <c r="O5" s="41"/>
      <c r="P5" s="9"/>
      <c r="Q5" s="9"/>
      <c r="R5" s="9"/>
      <c r="S5" s="41"/>
      <c r="T5" s="9"/>
      <c r="U5" s="9"/>
      <c r="V5" s="9"/>
      <c r="W5" s="41"/>
      <c r="X5" s="9"/>
      <c r="Y5" s="9"/>
    </row>
    <row r="6" spans="2:25" ht="16.5" thickTop="1" thickBot="1">
      <c r="B6" s="272" t="s">
        <v>39</v>
      </c>
      <c r="C6" s="413">
        <f t="shared" ref="C6:I6" si="0">SUM(C14+C20+C26+C32+C38+C44)</f>
        <v>1540029</v>
      </c>
      <c r="D6" s="413">
        <f t="shared" si="0"/>
        <v>949460</v>
      </c>
      <c r="E6" s="413">
        <f t="shared" si="0"/>
        <v>118218</v>
      </c>
      <c r="F6" s="413">
        <f t="shared" si="0"/>
        <v>92270</v>
      </c>
      <c r="G6" s="413">
        <f t="shared" si="0"/>
        <v>123448</v>
      </c>
      <c r="H6" s="413">
        <f t="shared" si="0"/>
        <v>137466</v>
      </c>
      <c r="I6" s="413">
        <f t="shared" si="0"/>
        <v>119167</v>
      </c>
      <c r="J6" s="10"/>
      <c r="K6" s="10"/>
      <c r="L6" s="10"/>
      <c r="M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2:25" ht="16.5" thickTop="1" thickBot="1">
      <c r="B7" s="290" t="s">
        <v>141</v>
      </c>
      <c r="C7" s="413">
        <v>133669</v>
      </c>
      <c r="D7" s="413">
        <v>55173</v>
      </c>
      <c r="E7" s="413">
        <v>10448</v>
      </c>
      <c r="F7" s="413">
        <v>12960</v>
      </c>
      <c r="G7" s="413">
        <v>15684</v>
      </c>
      <c r="H7" s="413">
        <v>24377</v>
      </c>
      <c r="I7" s="413">
        <v>15027</v>
      </c>
      <c r="J7" s="10"/>
      <c r="K7" s="10"/>
      <c r="L7" s="10"/>
      <c r="M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2:25" ht="16.5" thickTop="1" thickBot="1">
      <c r="B8" s="290" t="s">
        <v>142</v>
      </c>
      <c r="C8" s="413">
        <v>33780</v>
      </c>
      <c r="D8" s="413">
        <v>14614</v>
      </c>
      <c r="E8" s="413">
        <v>3760</v>
      </c>
      <c r="F8" s="413">
        <v>4226</v>
      </c>
      <c r="G8" s="413">
        <v>1654</v>
      </c>
      <c r="H8" s="413">
        <v>4595</v>
      </c>
      <c r="I8" s="413">
        <v>4931</v>
      </c>
      <c r="J8" s="184"/>
      <c r="K8" s="30"/>
      <c r="L8" s="30"/>
      <c r="M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2:25" ht="16.5" thickTop="1" thickBot="1">
      <c r="B9" s="290" t="s">
        <v>143</v>
      </c>
      <c r="C9" s="413">
        <v>508409</v>
      </c>
      <c r="D9" s="413">
        <v>264759</v>
      </c>
      <c r="E9" s="413">
        <v>50210</v>
      </c>
      <c r="F9" s="413">
        <v>36430</v>
      </c>
      <c r="G9" s="413">
        <v>55054</v>
      </c>
      <c r="H9" s="413">
        <v>56088</v>
      </c>
      <c r="I9" s="413">
        <v>45868</v>
      </c>
      <c r="J9" s="184"/>
      <c r="K9" s="30"/>
      <c r="L9" s="30"/>
      <c r="M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2:25" ht="16.5" thickTop="1" thickBot="1">
      <c r="B10" s="290" t="s">
        <v>144</v>
      </c>
      <c r="C10" s="413">
        <v>864171</v>
      </c>
      <c r="D10" s="413">
        <v>614914</v>
      </c>
      <c r="E10" s="413">
        <v>53800</v>
      </c>
      <c r="F10" s="413">
        <v>38654</v>
      </c>
      <c r="G10" s="413">
        <v>51056</v>
      </c>
      <c r="H10" s="413">
        <v>52406</v>
      </c>
      <c r="I10" s="413">
        <v>53341</v>
      </c>
      <c r="J10" s="184"/>
      <c r="K10" s="42"/>
      <c r="L10" s="42"/>
      <c r="M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2:25" ht="16.5" thickTop="1" thickBot="1">
      <c r="B11" s="290"/>
      <c r="C11" s="412"/>
      <c r="D11" s="412"/>
      <c r="E11" s="412"/>
      <c r="F11" s="412"/>
      <c r="G11" s="412"/>
      <c r="H11" s="412"/>
      <c r="I11" s="412"/>
      <c r="J11" s="184"/>
      <c r="K11" s="42"/>
      <c r="L11" s="42"/>
      <c r="M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2:25" ht="16.5" thickTop="1" thickBot="1">
      <c r="B12" s="272" t="s">
        <v>124</v>
      </c>
      <c r="C12" s="418"/>
      <c r="D12" s="418"/>
      <c r="E12" s="418"/>
      <c r="F12" s="418"/>
      <c r="G12" s="418"/>
      <c r="H12" s="418"/>
      <c r="I12" s="418"/>
      <c r="J12" s="184"/>
      <c r="K12" s="42"/>
      <c r="L12" s="10"/>
      <c r="M12" s="42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2:25" ht="16.5" thickTop="1" thickBot="1">
      <c r="B13" s="272"/>
      <c r="C13" s="418"/>
      <c r="D13" s="418"/>
      <c r="E13" s="418"/>
      <c r="F13" s="418"/>
      <c r="G13" s="418"/>
      <c r="H13" s="418"/>
      <c r="I13" s="418"/>
      <c r="J13" s="184"/>
      <c r="K13" s="42"/>
      <c r="L13" s="10"/>
      <c r="M13" s="42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2:25" ht="16.5" thickTop="1" thickBot="1">
      <c r="B14" s="272" t="s">
        <v>673</v>
      </c>
      <c r="C14" s="413">
        <f>SUM(C15:C18)</f>
        <v>45904</v>
      </c>
      <c r="D14" s="413">
        <f t="shared" ref="D14:I14" si="1">SUM(D15:D18)</f>
        <v>44031</v>
      </c>
      <c r="E14" s="413">
        <f t="shared" si="1"/>
        <v>558</v>
      </c>
      <c r="F14" s="413">
        <f t="shared" si="1"/>
        <v>377</v>
      </c>
      <c r="G14" s="413">
        <f t="shared" si="1"/>
        <v>393</v>
      </c>
      <c r="H14" s="413">
        <f t="shared" si="1"/>
        <v>394</v>
      </c>
      <c r="I14" s="413">
        <f t="shared" si="1"/>
        <v>151</v>
      </c>
      <c r="J14" s="184"/>
      <c r="K14" s="42"/>
      <c r="L14" s="10"/>
      <c r="M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2:25" ht="16.5" thickTop="1" thickBot="1">
      <c r="B15" s="290" t="s">
        <v>674</v>
      </c>
      <c r="C15" s="413">
        <v>122</v>
      </c>
      <c r="D15" s="413">
        <v>122</v>
      </c>
      <c r="E15" s="413" t="s">
        <v>156</v>
      </c>
      <c r="F15" s="413" t="s">
        <v>156</v>
      </c>
      <c r="G15" s="413" t="s">
        <v>156</v>
      </c>
      <c r="H15" s="413" t="s">
        <v>156</v>
      </c>
      <c r="I15" s="413" t="s">
        <v>156</v>
      </c>
      <c r="J15" s="184"/>
      <c r="K15" s="30"/>
      <c r="L15" s="30"/>
      <c r="M15" s="30"/>
      <c r="O15" s="30"/>
      <c r="P15" s="30"/>
      <c r="Q15" s="30"/>
      <c r="R15" s="43"/>
      <c r="S15" s="30"/>
      <c r="T15" s="30"/>
      <c r="U15" s="30"/>
      <c r="V15" s="30"/>
      <c r="W15" s="30"/>
      <c r="X15" s="30"/>
      <c r="Y15" s="30"/>
    </row>
    <row r="16" spans="2:25" ht="16.5" thickTop="1" thickBot="1">
      <c r="B16" s="290" t="s">
        <v>675</v>
      </c>
      <c r="C16" s="413">
        <v>239</v>
      </c>
      <c r="D16" s="413">
        <v>239</v>
      </c>
      <c r="E16" s="413" t="s">
        <v>156</v>
      </c>
      <c r="F16" s="413" t="s">
        <v>156</v>
      </c>
      <c r="G16" s="413" t="s">
        <v>156</v>
      </c>
      <c r="H16" s="413" t="s">
        <v>156</v>
      </c>
      <c r="I16" s="413" t="s">
        <v>156</v>
      </c>
      <c r="J16" s="184"/>
      <c r="K16" s="30"/>
      <c r="L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</row>
    <row r="17" spans="2:25" ht="16.5" thickTop="1" thickBot="1">
      <c r="B17" s="290" t="s">
        <v>676</v>
      </c>
      <c r="C17" s="413">
        <v>3575</v>
      </c>
      <c r="D17" s="413">
        <v>2929</v>
      </c>
      <c r="E17" s="413">
        <v>276</v>
      </c>
      <c r="F17" s="413">
        <v>128</v>
      </c>
      <c r="G17" s="413">
        <v>120</v>
      </c>
      <c r="H17" s="413">
        <v>122</v>
      </c>
      <c r="I17" s="413" t="s">
        <v>156</v>
      </c>
      <c r="J17" s="184"/>
      <c r="K17" s="30"/>
      <c r="L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</row>
    <row r="18" spans="2:25" ht="16.5" thickTop="1" thickBot="1">
      <c r="B18" s="290" t="s">
        <v>677</v>
      </c>
      <c r="C18" s="413">
        <v>41968</v>
      </c>
      <c r="D18" s="413">
        <v>40741</v>
      </c>
      <c r="E18" s="413">
        <v>282</v>
      </c>
      <c r="F18" s="413">
        <v>249</v>
      </c>
      <c r="G18" s="413">
        <v>273</v>
      </c>
      <c r="H18" s="413">
        <v>272</v>
      </c>
      <c r="I18" s="413">
        <v>151</v>
      </c>
      <c r="J18" s="184"/>
      <c r="K18" s="42"/>
      <c r="L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</row>
    <row r="19" spans="2:25" ht="16.5" thickTop="1" thickBot="1">
      <c r="B19" s="290"/>
      <c r="C19" s="413"/>
      <c r="D19" s="413"/>
      <c r="E19" s="413"/>
      <c r="F19" s="413"/>
      <c r="G19" s="413"/>
      <c r="H19" s="413"/>
      <c r="I19" s="413"/>
      <c r="J19" s="184"/>
      <c r="K19" s="42"/>
      <c r="L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</row>
    <row r="20" spans="2:25" ht="16.5" thickTop="1" thickBot="1">
      <c r="B20" s="272" t="s">
        <v>678</v>
      </c>
      <c r="C20" s="413">
        <f>SUM(C21:C24)</f>
        <v>926944</v>
      </c>
      <c r="D20" s="413">
        <f t="shared" ref="D20:I20" si="2">SUM(D21:D24)</f>
        <v>454605</v>
      </c>
      <c r="E20" s="413">
        <f t="shared" si="2"/>
        <v>85071</v>
      </c>
      <c r="F20" s="413">
        <f t="shared" si="2"/>
        <v>63085</v>
      </c>
      <c r="G20" s="413">
        <f t="shared" si="2"/>
        <v>107111</v>
      </c>
      <c r="H20" s="413">
        <f t="shared" si="2"/>
        <v>117644</v>
      </c>
      <c r="I20" s="413">
        <f t="shared" si="2"/>
        <v>99428</v>
      </c>
      <c r="J20" s="184"/>
      <c r="K20" s="10"/>
      <c r="L20" s="43"/>
      <c r="O20" s="10"/>
      <c r="P20" s="43"/>
      <c r="Q20" s="43"/>
      <c r="R20" s="43"/>
      <c r="S20" s="10"/>
      <c r="T20" s="43"/>
      <c r="U20" s="43"/>
      <c r="V20" s="43"/>
      <c r="W20" s="10"/>
      <c r="X20" s="43"/>
      <c r="Y20" s="43"/>
    </row>
    <row r="21" spans="2:25" ht="16.5" thickTop="1" thickBot="1">
      <c r="B21" s="290" t="s">
        <v>674</v>
      </c>
      <c r="C21" s="413">
        <v>89085</v>
      </c>
      <c r="D21" s="413">
        <v>23336</v>
      </c>
      <c r="E21" s="413">
        <v>8465</v>
      </c>
      <c r="F21" s="413">
        <v>8907</v>
      </c>
      <c r="G21" s="413">
        <v>14197</v>
      </c>
      <c r="H21" s="413">
        <v>21819</v>
      </c>
      <c r="I21" s="413">
        <v>12361</v>
      </c>
      <c r="J21" s="184"/>
      <c r="K21" s="10"/>
      <c r="L21" s="43"/>
      <c r="O21" s="10"/>
      <c r="P21" s="43"/>
      <c r="Q21" s="43"/>
      <c r="R21" s="43"/>
      <c r="S21" s="10"/>
      <c r="T21" s="43"/>
      <c r="U21" s="43"/>
      <c r="V21" s="43"/>
      <c r="W21" s="10"/>
      <c r="X21" s="43"/>
      <c r="Y21" s="43"/>
    </row>
    <row r="22" spans="2:25" ht="16.5" thickTop="1" thickBot="1">
      <c r="B22" s="290" t="s">
        <v>675</v>
      </c>
      <c r="C22" s="413">
        <v>19029</v>
      </c>
      <c r="D22" s="413">
        <v>5416</v>
      </c>
      <c r="E22" s="413">
        <v>1999</v>
      </c>
      <c r="F22" s="413">
        <v>2632</v>
      </c>
      <c r="G22" s="413">
        <v>1281</v>
      </c>
      <c r="H22" s="413">
        <v>3956</v>
      </c>
      <c r="I22" s="413">
        <v>3745</v>
      </c>
      <c r="J22" s="184"/>
      <c r="K22" s="30"/>
      <c r="L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</row>
    <row r="23" spans="2:25" ht="16.5" thickTop="1" thickBot="1">
      <c r="B23" s="290" t="s">
        <v>676</v>
      </c>
      <c r="C23" s="413">
        <v>335792</v>
      </c>
      <c r="D23" s="413">
        <v>133650</v>
      </c>
      <c r="E23" s="413">
        <v>38115</v>
      </c>
      <c r="F23" s="413">
        <v>24130</v>
      </c>
      <c r="G23" s="413">
        <v>49649</v>
      </c>
      <c r="H23" s="413">
        <v>50285</v>
      </c>
      <c r="I23" s="413">
        <v>39963</v>
      </c>
      <c r="J23" s="184"/>
      <c r="K23" s="30"/>
      <c r="L23" s="30"/>
      <c r="M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</row>
    <row r="24" spans="2:25" ht="16.5" thickTop="1" thickBot="1">
      <c r="B24" s="290" t="s">
        <v>677</v>
      </c>
      <c r="C24" s="413">
        <v>483038</v>
      </c>
      <c r="D24" s="413">
        <v>292203</v>
      </c>
      <c r="E24" s="413">
        <v>36492</v>
      </c>
      <c r="F24" s="413">
        <v>27416</v>
      </c>
      <c r="G24" s="413">
        <v>41984</v>
      </c>
      <c r="H24" s="413">
        <v>41584</v>
      </c>
      <c r="I24" s="413">
        <v>43359</v>
      </c>
      <c r="J24" s="184"/>
      <c r="K24" s="30"/>
      <c r="L24" s="42"/>
      <c r="M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</row>
    <row r="25" spans="2:25" ht="16.5" thickTop="1" thickBot="1">
      <c r="B25" s="290"/>
      <c r="C25" s="413"/>
      <c r="D25" s="413"/>
      <c r="E25" s="413"/>
      <c r="F25" s="413"/>
      <c r="G25" s="413"/>
      <c r="H25" s="413"/>
      <c r="I25" s="413"/>
      <c r="J25" s="184"/>
      <c r="K25" s="30"/>
      <c r="L25" s="42"/>
      <c r="M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</row>
    <row r="26" spans="2:25" ht="16.5" thickTop="1" thickBot="1">
      <c r="B26" s="272" t="s">
        <v>679</v>
      </c>
      <c r="C26" s="413">
        <f>SUM(C27:C30)</f>
        <v>522492</v>
      </c>
      <c r="D26" s="413">
        <f t="shared" ref="D26:I26" si="3">SUM(D27:D30)</f>
        <v>413582</v>
      </c>
      <c r="E26" s="413">
        <f t="shared" si="3"/>
        <v>30595</v>
      </c>
      <c r="F26" s="413">
        <f t="shared" si="3"/>
        <v>27596</v>
      </c>
      <c r="G26" s="413">
        <f t="shared" si="3"/>
        <v>13855</v>
      </c>
      <c r="H26" s="413">
        <f t="shared" si="3"/>
        <v>18434</v>
      </c>
      <c r="I26" s="413">
        <f t="shared" si="3"/>
        <v>18430</v>
      </c>
      <c r="J26" s="184"/>
      <c r="K26" s="10"/>
      <c r="L26" s="10"/>
      <c r="M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2:25" ht="16.5" thickTop="1" thickBot="1">
      <c r="B27" s="290" t="s">
        <v>674</v>
      </c>
      <c r="C27" s="413">
        <v>37803</v>
      </c>
      <c r="D27" s="413">
        <v>27738</v>
      </c>
      <c r="E27" s="413">
        <v>1563</v>
      </c>
      <c r="F27" s="413">
        <v>3459</v>
      </c>
      <c r="G27" s="413">
        <v>1006</v>
      </c>
      <c r="H27" s="413">
        <v>2193</v>
      </c>
      <c r="I27" s="413">
        <v>1844</v>
      </c>
      <c r="J27" s="184"/>
      <c r="K27" s="10"/>
      <c r="L27" s="10"/>
      <c r="M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2:25" ht="16.5" thickTop="1" thickBot="1">
      <c r="B28" s="290" t="s">
        <v>675</v>
      </c>
      <c r="C28" s="413">
        <v>14089</v>
      </c>
      <c r="D28" s="413">
        <v>8669</v>
      </c>
      <c r="E28" s="413">
        <v>1761</v>
      </c>
      <c r="F28" s="413">
        <v>1594</v>
      </c>
      <c r="G28" s="413">
        <v>240</v>
      </c>
      <c r="H28" s="413">
        <v>639</v>
      </c>
      <c r="I28" s="413">
        <v>1186</v>
      </c>
      <c r="J28" s="184"/>
      <c r="K28" s="30"/>
      <c r="L28" s="30"/>
      <c r="M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</row>
    <row r="29" spans="2:25" ht="16.5" thickTop="1" thickBot="1">
      <c r="B29" s="290" t="s">
        <v>676</v>
      </c>
      <c r="C29" s="413">
        <v>160592</v>
      </c>
      <c r="D29" s="413">
        <v>120844</v>
      </c>
      <c r="E29" s="413">
        <v>11348</v>
      </c>
      <c r="F29" s="413">
        <v>11931</v>
      </c>
      <c r="G29" s="413">
        <v>5125</v>
      </c>
      <c r="H29" s="413">
        <v>5439</v>
      </c>
      <c r="I29" s="413">
        <v>5905</v>
      </c>
      <c r="J29" s="184"/>
      <c r="K29" s="30"/>
      <c r="L29" s="30"/>
      <c r="M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</row>
    <row r="30" spans="2:25" ht="16.5" thickTop="1" thickBot="1">
      <c r="B30" s="290" t="s">
        <v>677</v>
      </c>
      <c r="C30" s="413">
        <v>310008</v>
      </c>
      <c r="D30" s="413">
        <v>256331</v>
      </c>
      <c r="E30" s="413">
        <v>15923</v>
      </c>
      <c r="F30" s="413">
        <v>10612</v>
      </c>
      <c r="G30" s="413">
        <v>7484</v>
      </c>
      <c r="H30" s="413">
        <v>10163</v>
      </c>
      <c r="I30" s="413">
        <v>9495</v>
      </c>
      <c r="J30" s="184"/>
      <c r="K30" s="42"/>
      <c r="L30" s="42"/>
      <c r="M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</row>
    <row r="31" spans="2:25" ht="16.5" thickTop="1" thickBot="1">
      <c r="B31" s="290"/>
      <c r="C31" s="413"/>
      <c r="D31" s="413"/>
      <c r="E31" s="413"/>
      <c r="F31" s="413"/>
      <c r="G31" s="413"/>
      <c r="H31" s="413"/>
      <c r="I31" s="413"/>
      <c r="J31" s="184"/>
      <c r="K31" s="42"/>
      <c r="L31" s="42"/>
      <c r="M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</row>
    <row r="32" spans="2:25" ht="16.5" thickTop="1" thickBot="1">
      <c r="B32" s="272" t="s">
        <v>680</v>
      </c>
      <c r="C32" s="413">
        <f>SUM(C33:C36)</f>
        <v>37288</v>
      </c>
      <c r="D32" s="413">
        <f t="shared" ref="D32:I32" si="4">SUM(D33:D36)</f>
        <v>32519</v>
      </c>
      <c r="E32" s="413">
        <f t="shared" si="4"/>
        <v>1457</v>
      </c>
      <c r="F32" s="413">
        <f t="shared" si="4"/>
        <v>618</v>
      </c>
      <c r="G32" s="413">
        <f t="shared" si="4"/>
        <v>1608</v>
      </c>
      <c r="H32" s="413">
        <f t="shared" si="4"/>
        <v>750</v>
      </c>
      <c r="I32" s="413">
        <f t="shared" si="4"/>
        <v>336</v>
      </c>
      <c r="J32" s="184"/>
      <c r="K32" s="42"/>
      <c r="L32" s="10"/>
      <c r="M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2:25" ht="16.5" thickTop="1" thickBot="1">
      <c r="B33" s="290" t="s">
        <v>674</v>
      </c>
      <c r="C33" s="413">
        <v>285</v>
      </c>
      <c r="D33" s="413">
        <v>164</v>
      </c>
      <c r="E33" s="413" t="s">
        <v>156</v>
      </c>
      <c r="F33" s="413" t="s">
        <v>156</v>
      </c>
      <c r="G33" s="413" t="s">
        <v>156</v>
      </c>
      <c r="H33" s="413">
        <v>121</v>
      </c>
      <c r="I33" s="413" t="s">
        <v>156</v>
      </c>
      <c r="J33" s="184"/>
      <c r="K33" s="30"/>
      <c r="L33" s="30"/>
      <c r="M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</row>
    <row r="34" spans="2:25" ht="16.5" thickTop="1" thickBot="1">
      <c r="B34" s="290" t="s">
        <v>675</v>
      </c>
      <c r="C34" s="413">
        <v>133</v>
      </c>
      <c r="D34" s="413" t="s">
        <v>156</v>
      </c>
      <c r="E34" s="413" t="s">
        <v>156</v>
      </c>
      <c r="F34" s="413" t="s">
        <v>156</v>
      </c>
      <c r="G34" s="413">
        <v>133</v>
      </c>
      <c r="H34" s="413" t="s">
        <v>156</v>
      </c>
      <c r="I34" s="413" t="s">
        <v>156</v>
      </c>
      <c r="J34" s="184"/>
      <c r="K34" s="30"/>
      <c r="L34" s="30"/>
      <c r="M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</row>
    <row r="35" spans="2:25" ht="16.5" thickTop="1" thickBot="1">
      <c r="B35" s="290" t="s">
        <v>676</v>
      </c>
      <c r="C35" s="413">
        <v>7973</v>
      </c>
      <c r="D35" s="413">
        <v>6976</v>
      </c>
      <c r="E35" s="413">
        <v>354</v>
      </c>
      <c r="F35" s="413">
        <v>241</v>
      </c>
      <c r="G35" s="413">
        <v>160</v>
      </c>
      <c r="H35" s="413">
        <v>242</v>
      </c>
      <c r="I35" s="413" t="s">
        <v>156</v>
      </c>
      <c r="J35" s="184"/>
      <c r="K35" s="30"/>
      <c r="L35" s="30"/>
      <c r="M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  <row r="36" spans="2:25" ht="16.5" thickTop="1" thickBot="1">
      <c r="B36" s="290" t="s">
        <v>677</v>
      </c>
      <c r="C36" s="413">
        <v>28897</v>
      </c>
      <c r="D36" s="413">
        <v>25379</v>
      </c>
      <c r="E36" s="413">
        <v>1103</v>
      </c>
      <c r="F36" s="413">
        <v>377</v>
      </c>
      <c r="G36" s="413">
        <v>1315</v>
      </c>
      <c r="H36" s="413">
        <v>387</v>
      </c>
      <c r="I36" s="413">
        <v>336</v>
      </c>
      <c r="J36" s="184"/>
      <c r="K36" s="42"/>
      <c r="L36" s="42"/>
      <c r="M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</row>
    <row r="37" spans="2:25" ht="16.5" thickTop="1" thickBot="1">
      <c r="B37" s="290"/>
      <c r="C37" s="413"/>
      <c r="D37" s="413"/>
      <c r="E37" s="413"/>
      <c r="F37" s="413"/>
      <c r="G37" s="413"/>
      <c r="H37" s="413"/>
      <c r="I37" s="413"/>
      <c r="J37" s="184"/>
      <c r="K37" s="42"/>
      <c r="L37" s="42"/>
      <c r="M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</row>
    <row r="38" spans="2:25" ht="16.5" thickTop="1" thickBot="1">
      <c r="B38" s="272" t="s">
        <v>681</v>
      </c>
      <c r="C38" s="413">
        <f>SUM(C39:C42)</f>
        <v>1349</v>
      </c>
      <c r="D38" s="413">
        <f t="shared" ref="D38:I38" si="5">SUM(D39:D42)</f>
        <v>1232</v>
      </c>
      <c r="E38" s="413">
        <f t="shared" si="5"/>
        <v>117</v>
      </c>
      <c r="F38" s="413">
        <f t="shared" si="5"/>
        <v>0</v>
      </c>
      <c r="G38" s="413">
        <f t="shared" si="5"/>
        <v>0</v>
      </c>
      <c r="H38" s="413">
        <f t="shared" si="5"/>
        <v>0</v>
      </c>
      <c r="I38" s="413">
        <f t="shared" si="5"/>
        <v>0</v>
      </c>
      <c r="J38" s="184"/>
      <c r="K38" s="10"/>
      <c r="L38" s="10"/>
      <c r="M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2:25" ht="16.5" thickTop="1" thickBot="1">
      <c r="B39" s="290" t="s">
        <v>674</v>
      </c>
      <c r="C39" s="413">
        <v>322</v>
      </c>
      <c r="D39" s="413">
        <v>322</v>
      </c>
      <c r="E39" s="413" t="s">
        <v>156</v>
      </c>
      <c r="F39" s="413" t="s">
        <v>156</v>
      </c>
      <c r="G39" s="413" t="s">
        <v>156</v>
      </c>
      <c r="H39" s="413" t="s">
        <v>156</v>
      </c>
      <c r="I39" s="413" t="s">
        <v>156</v>
      </c>
      <c r="J39" s="184"/>
      <c r="K39" s="10"/>
      <c r="L39" s="10"/>
      <c r="M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2:25" ht="16.5" thickTop="1" thickBot="1">
      <c r="B40" s="290" t="s">
        <v>675</v>
      </c>
      <c r="C40" s="413">
        <v>290</v>
      </c>
      <c r="D40" s="413">
        <v>290</v>
      </c>
      <c r="E40" s="413" t="s">
        <v>156</v>
      </c>
      <c r="F40" s="413" t="s">
        <v>156</v>
      </c>
      <c r="G40" s="413" t="s">
        <v>156</v>
      </c>
      <c r="H40" s="413" t="s">
        <v>156</v>
      </c>
      <c r="I40" s="413" t="s">
        <v>156</v>
      </c>
      <c r="J40" s="184"/>
      <c r="K40" s="10"/>
      <c r="L40" s="10"/>
      <c r="M40" s="30"/>
      <c r="O40" s="10"/>
      <c r="P40" s="10"/>
      <c r="Q40" s="30"/>
      <c r="R40" s="30"/>
      <c r="S40" s="10"/>
      <c r="T40" s="10"/>
      <c r="U40" s="30"/>
      <c r="V40" s="30"/>
      <c r="W40" s="44"/>
      <c r="X40" s="44"/>
      <c r="Y40" s="44"/>
    </row>
    <row r="41" spans="2:25" ht="16.5" thickTop="1" thickBot="1">
      <c r="B41" s="290" t="s">
        <v>676</v>
      </c>
      <c r="C41" s="413">
        <v>477</v>
      </c>
      <c r="D41" s="413">
        <v>360</v>
      </c>
      <c r="E41" s="413">
        <v>117</v>
      </c>
      <c r="F41" s="413" t="s">
        <v>156</v>
      </c>
      <c r="G41" s="413" t="s">
        <v>156</v>
      </c>
      <c r="H41" s="413" t="s">
        <v>156</v>
      </c>
      <c r="I41" s="413" t="s">
        <v>156</v>
      </c>
      <c r="J41" s="184"/>
      <c r="K41" s="10"/>
      <c r="L41" s="10"/>
      <c r="M41" s="30"/>
      <c r="O41" s="10"/>
      <c r="P41" s="10"/>
      <c r="Q41" s="30"/>
      <c r="R41" s="30"/>
      <c r="S41" s="10"/>
      <c r="T41" s="10"/>
      <c r="U41" s="30"/>
      <c r="V41" s="30"/>
      <c r="W41" s="44"/>
      <c r="X41" s="44"/>
      <c r="Y41" s="44"/>
    </row>
    <row r="42" spans="2:25" ht="16.5" thickTop="1" thickBot="1">
      <c r="B42" s="290" t="s">
        <v>677</v>
      </c>
      <c r="C42" s="413">
        <v>260</v>
      </c>
      <c r="D42" s="413">
        <v>260</v>
      </c>
      <c r="E42" s="413" t="s">
        <v>156</v>
      </c>
      <c r="F42" s="413" t="s">
        <v>156</v>
      </c>
      <c r="G42" s="413" t="s">
        <v>156</v>
      </c>
      <c r="H42" s="413" t="s">
        <v>156</v>
      </c>
      <c r="I42" s="413" t="s">
        <v>156</v>
      </c>
      <c r="J42" s="184"/>
      <c r="K42" s="42"/>
      <c r="L42" s="42"/>
      <c r="M42" s="42"/>
      <c r="O42" s="42"/>
      <c r="P42" s="42"/>
      <c r="Q42" s="42"/>
      <c r="R42" s="42"/>
      <c r="S42" s="42"/>
      <c r="T42" s="42"/>
      <c r="U42" s="42"/>
      <c r="V42" s="42"/>
      <c r="W42" s="44"/>
      <c r="X42" s="44"/>
      <c r="Y42" s="44"/>
    </row>
    <row r="43" spans="2:25" ht="16.5" thickTop="1" thickBot="1">
      <c r="B43" s="290"/>
      <c r="C43" s="413"/>
      <c r="D43" s="413"/>
      <c r="E43" s="413"/>
      <c r="F43" s="413"/>
      <c r="G43" s="413"/>
      <c r="H43" s="413"/>
      <c r="I43" s="413"/>
      <c r="J43" s="184"/>
      <c r="K43" s="42"/>
      <c r="L43" s="42"/>
      <c r="M43" s="42"/>
      <c r="O43" s="42"/>
      <c r="P43" s="42"/>
      <c r="Q43" s="42"/>
      <c r="R43" s="42"/>
      <c r="S43" s="42"/>
      <c r="T43" s="42"/>
      <c r="U43" s="42"/>
      <c r="V43" s="42"/>
      <c r="W43" s="44"/>
      <c r="X43" s="44"/>
      <c r="Y43" s="44"/>
    </row>
    <row r="44" spans="2:25" ht="16.5" thickTop="1" thickBot="1">
      <c r="B44" s="272" t="s">
        <v>682</v>
      </c>
      <c r="C44" s="413">
        <f>SUM(C45:C48)</f>
        <v>6052</v>
      </c>
      <c r="D44" s="413">
        <f t="shared" ref="D44:I44" si="6">SUM(D45:D48)</f>
        <v>3491</v>
      </c>
      <c r="E44" s="413">
        <f t="shared" si="6"/>
        <v>420</v>
      </c>
      <c r="F44" s="413">
        <f t="shared" si="6"/>
        <v>594</v>
      </c>
      <c r="G44" s="413">
        <f t="shared" si="6"/>
        <v>481</v>
      </c>
      <c r="H44" s="413">
        <f t="shared" si="6"/>
        <v>244</v>
      </c>
      <c r="I44" s="413">
        <f t="shared" si="6"/>
        <v>822</v>
      </c>
      <c r="J44" s="184"/>
      <c r="K44" s="42"/>
      <c r="L44" s="42"/>
      <c r="M44" s="42"/>
      <c r="O44" s="42"/>
      <c r="P44" s="42"/>
      <c r="Q44" s="42"/>
      <c r="R44" s="42"/>
      <c r="S44" s="42"/>
      <c r="T44" s="42"/>
      <c r="U44" s="42"/>
      <c r="V44" s="42"/>
      <c r="W44" s="44"/>
      <c r="X44" s="44"/>
      <c r="Y44" s="44"/>
    </row>
    <row r="45" spans="2:25" ht="16.5" thickTop="1" thickBot="1">
      <c r="B45" s="290" t="s">
        <v>674</v>
      </c>
      <c r="C45" s="413">
        <v>6052</v>
      </c>
      <c r="D45" s="413">
        <v>3491</v>
      </c>
      <c r="E45" s="413">
        <v>420</v>
      </c>
      <c r="F45" s="413">
        <v>594</v>
      </c>
      <c r="G45" s="413">
        <v>481</v>
      </c>
      <c r="H45" s="413">
        <v>244</v>
      </c>
      <c r="I45" s="413">
        <v>822</v>
      </c>
      <c r="J45" s="184"/>
      <c r="K45" s="42"/>
      <c r="L45" s="42"/>
      <c r="M45" s="42"/>
      <c r="O45" s="42"/>
      <c r="P45" s="42"/>
      <c r="Q45" s="42"/>
      <c r="R45" s="42"/>
      <c r="S45" s="42"/>
      <c r="T45" s="42"/>
      <c r="U45" s="42"/>
      <c r="V45" s="42"/>
      <c r="W45" s="44"/>
      <c r="X45" s="44"/>
      <c r="Y45" s="44"/>
    </row>
    <row r="46" spans="2:25" ht="16.5" thickTop="1" thickBot="1">
      <c r="B46" s="290" t="s">
        <v>675</v>
      </c>
      <c r="C46" s="252" t="s">
        <v>156</v>
      </c>
      <c r="D46" s="252" t="s">
        <v>156</v>
      </c>
      <c r="E46" s="252" t="s">
        <v>156</v>
      </c>
      <c r="F46" s="252" t="s">
        <v>156</v>
      </c>
      <c r="G46" s="252" t="s">
        <v>156</v>
      </c>
      <c r="H46" s="252" t="s">
        <v>156</v>
      </c>
      <c r="I46" s="252" t="s">
        <v>156</v>
      </c>
      <c r="J46" s="184"/>
      <c r="K46" s="42"/>
      <c r="L46" s="42"/>
      <c r="M46" s="42"/>
      <c r="O46" s="42"/>
      <c r="P46" s="42"/>
      <c r="Q46" s="42"/>
      <c r="R46" s="42"/>
      <c r="S46" s="42"/>
      <c r="T46" s="42"/>
      <c r="U46" s="42"/>
      <c r="V46" s="42"/>
      <c r="W46" s="44"/>
      <c r="X46" s="44"/>
      <c r="Y46" s="44"/>
    </row>
    <row r="47" spans="2:25" ht="16.5" thickTop="1" thickBot="1">
      <c r="B47" s="290" t="s">
        <v>676</v>
      </c>
      <c r="C47" s="252" t="s">
        <v>156</v>
      </c>
      <c r="D47" s="252" t="s">
        <v>156</v>
      </c>
      <c r="E47" s="252" t="s">
        <v>156</v>
      </c>
      <c r="F47" s="252" t="s">
        <v>156</v>
      </c>
      <c r="G47" s="252" t="s">
        <v>156</v>
      </c>
      <c r="H47" s="252" t="s">
        <v>156</v>
      </c>
      <c r="I47" s="252" t="s">
        <v>156</v>
      </c>
      <c r="J47" s="184"/>
      <c r="K47" s="42"/>
      <c r="L47" s="42"/>
      <c r="M47" s="42"/>
      <c r="O47" s="42"/>
      <c r="P47" s="42"/>
      <c r="Q47" s="42"/>
      <c r="R47" s="42"/>
      <c r="S47" s="42"/>
      <c r="T47" s="42"/>
      <c r="U47" s="42"/>
      <c r="V47" s="42"/>
      <c r="W47" s="44"/>
      <c r="X47" s="44"/>
      <c r="Y47" s="44"/>
    </row>
    <row r="48" spans="2:25" ht="16.5" thickTop="1" thickBot="1">
      <c r="B48" s="290" t="s">
        <v>677</v>
      </c>
      <c r="C48" s="252" t="s">
        <v>156</v>
      </c>
      <c r="D48" s="252" t="s">
        <v>156</v>
      </c>
      <c r="E48" s="252" t="s">
        <v>156</v>
      </c>
      <c r="F48" s="252" t="s">
        <v>156</v>
      </c>
      <c r="G48" s="252" t="s">
        <v>156</v>
      </c>
      <c r="H48" s="252" t="s">
        <v>156</v>
      </c>
      <c r="I48" s="252" t="s">
        <v>156</v>
      </c>
      <c r="J48" s="184"/>
      <c r="K48" s="42"/>
      <c r="L48" s="42"/>
      <c r="M48" s="42"/>
      <c r="O48" s="42"/>
      <c r="P48" s="42"/>
      <c r="Q48" s="42"/>
      <c r="R48" s="42"/>
      <c r="S48" s="42"/>
      <c r="T48" s="42"/>
      <c r="U48" s="42"/>
      <c r="V48" s="42"/>
      <c r="W48" s="44"/>
      <c r="X48" s="44"/>
      <c r="Y48" s="44"/>
    </row>
    <row r="49" spans="2:25" ht="16.5" thickTop="1" thickBot="1">
      <c r="B49" s="289"/>
      <c r="C49" s="259"/>
      <c r="D49" s="259"/>
      <c r="E49" s="259"/>
      <c r="F49" s="259"/>
      <c r="G49" s="259"/>
      <c r="H49" s="259"/>
      <c r="I49" s="259"/>
      <c r="J49" s="184"/>
      <c r="K49" s="42"/>
      <c r="L49" s="42"/>
      <c r="M49" s="42"/>
      <c r="O49" s="42"/>
      <c r="P49" s="42"/>
      <c r="Q49" s="42"/>
      <c r="R49" s="42"/>
      <c r="S49" s="42"/>
      <c r="T49" s="42"/>
      <c r="U49" s="42"/>
      <c r="V49" s="42"/>
      <c r="W49" s="44"/>
      <c r="X49" s="44"/>
      <c r="Y49" s="44"/>
    </row>
    <row r="50" spans="2:25" ht="15" thickTop="1" thickBot="1">
      <c r="B50" s="466" t="s">
        <v>511</v>
      </c>
      <c r="C50" s="467"/>
      <c r="D50" s="467"/>
      <c r="E50" s="467"/>
      <c r="F50" s="467"/>
      <c r="G50" s="467"/>
      <c r="H50" s="467"/>
      <c r="I50" s="467"/>
      <c r="J50" s="1"/>
      <c r="K50" s="1"/>
      <c r="L50" s="1"/>
      <c r="M50" s="1"/>
    </row>
    <row r="51" spans="2:25" ht="14.25" thickTop="1" thickBot="1">
      <c r="B51" s="499"/>
      <c r="C51" s="500"/>
      <c r="D51" s="500"/>
      <c r="E51" s="500"/>
      <c r="F51" s="500"/>
      <c r="G51" s="500"/>
      <c r="H51" s="500"/>
      <c r="I51" s="500"/>
    </row>
    <row r="52" spans="2:25" ht="13.5" thickTop="1">
      <c r="C52" s="183"/>
      <c r="G52" s="202"/>
      <c r="H52" s="202"/>
      <c r="I52" s="202"/>
      <c r="J52" s="202"/>
      <c r="K52" s="202"/>
      <c r="L52" s="202"/>
    </row>
    <row r="53" spans="2:25">
      <c r="C53" s="183"/>
    </row>
    <row r="57" spans="2:25">
      <c r="C57" s="183"/>
    </row>
    <row r="80" spans="12:12" ht="13.5" thickBot="1">
      <c r="L80" s="45"/>
    </row>
    <row r="81" spans="2:8" ht="14.25" thickTop="1" thickBot="1">
      <c r="B81" s="501"/>
      <c r="C81" s="502"/>
      <c r="D81" s="502"/>
      <c r="E81" s="502"/>
      <c r="F81" s="502"/>
      <c r="G81" s="502"/>
    </row>
    <row r="82" spans="2:8" ht="13.5" thickTop="1"/>
    <row r="83" spans="2:8" ht="15.75">
      <c r="B83" s="507"/>
      <c r="C83" s="507"/>
      <c r="D83" s="507"/>
      <c r="E83" s="507"/>
      <c r="F83" s="507"/>
      <c r="G83" s="507"/>
    </row>
    <row r="84" spans="2:8" ht="15">
      <c r="B84" s="508"/>
      <c r="C84" s="509"/>
      <c r="D84" s="509"/>
      <c r="E84" s="509"/>
      <c r="F84" s="509"/>
      <c r="G84" s="509"/>
      <c r="H84" s="29"/>
    </row>
    <row r="85" spans="2:8" ht="15">
      <c r="B85" s="508"/>
      <c r="C85" s="188"/>
      <c r="D85" s="188"/>
      <c r="E85" s="188"/>
      <c r="F85" s="188"/>
      <c r="G85" s="188"/>
    </row>
    <row r="86" spans="2:8" ht="14.25">
      <c r="B86" s="231"/>
      <c r="C86" s="233"/>
      <c r="D86" s="233"/>
      <c r="E86" s="233"/>
      <c r="F86" s="233"/>
      <c r="G86" s="233"/>
    </row>
    <row r="87" spans="2:8" ht="14.25">
      <c r="B87" s="231"/>
      <c r="C87" s="233"/>
      <c r="D87" s="233"/>
      <c r="E87" s="233"/>
      <c r="F87" s="233"/>
      <c r="G87" s="233"/>
    </row>
    <row r="88" spans="2:8" ht="14.25">
      <c r="B88" s="231"/>
      <c r="C88" s="232"/>
      <c r="D88" s="232"/>
      <c r="E88" s="232"/>
      <c r="F88" s="232"/>
      <c r="G88" s="232"/>
    </row>
  </sheetData>
  <mergeCells count="15">
    <mergeCell ref="W4:Y4"/>
    <mergeCell ref="B50:I50"/>
    <mergeCell ref="B51:I51"/>
    <mergeCell ref="B81:G81"/>
    <mergeCell ref="B2:I2"/>
    <mergeCell ref="B3:I3"/>
    <mergeCell ref="B4:B5"/>
    <mergeCell ref="C4:C5"/>
    <mergeCell ref="D4:I4"/>
    <mergeCell ref="K4:M4"/>
    <mergeCell ref="B83:G83"/>
    <mergeCell ref="B84:B85"/>
    <mergeCell ref="C84:G84"/>
    <mergeCell ref="O4:Q4"/>
    <mergeCell ref="S4:U4"/>
  </mergeCells>
  <hyperlinks>
    <hyperlink ref="B3:I3" location="'Capitulo 3'!B21" display="Total de viviendas ocupadas por región, según tipo y calificación de la vivienda. 2018." xr:uid="{00000000-0004-0000-10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G44"/>
  <sheetViews>
    <sheetView showGridLines="0" zoomScaleNormal="100" workbookViewId="0">
      <pane ySplit="5" topLeftCell="A6" activePane="bottomLeft" state="frozen"/>
      <selection pane="bottomLeft" activeCell="H12" sqref="H12"/>
    </sheetView>
  </sheetViews>
  <sheetFormatPr baseColWidth="10" defaultColWidth="31.7109375" defaultRowHeight="12.75"/>
  <cols>
    <col min="1" max="1" width="10.7109375" style="3" customWidth="1"/>
    <col min="2" max="2" width="29" style="3" customWidth="1"/>
    <col min="3" max="3" width="23.7109375" style="3" customWidth="1"/>
    <col min="4" max="4" width="20.7109375" style="3" customWidth="1"/>
    <col min="5" max="5" width="20" style="3" customWidth="1"/>
    <col min="6" max="6" width="21" style="3" customWidth="1"/>
    <col min="7" max="11" width="31.7109375" style="3" customWidth="1"/>
    <col min="12" max="16384" width="31.7109375" style="3"/>
  </cols>
  <sheetData>
    <row r="2" spans="2:7" ht="15">
      <c r="B2" s="462" t="s">
        <v>97</v>
      </c>
      <c r="C2" s="462"/>
      <c r="D2" s="462"/>
      <c r="E2" s="462"/>
      <c r="F2" s="462"/>
    </row>
    <row r="3" spans="2:7" ht="35.25" customHeight="1" thickBot="1">
      <c r="B3" s="482" t="s">
        <v>512</v>
      </c>
      <c r="C3" s="482"/>
      <c r="D3" s="482"/>
      <c r="E3" s="482"/>
      <c r="F3" s="482"/>
    </row>
    <row r="4" spans="2:7" ht="30" customHeight="1" thickTop="1" thickBot="1">
      <c r="B4" s="494" t="s">
        <v>131</v>
      </c>
      <c r="C4" s="459" t="s">
        <v>4</v>
      </c>
      <c r="D4" s="460"/>
      <c r="E4" s="460"/>
      <c r="F4" s="461"/>
    </row>
    <row r="5" spans="2:7" ht="30" customHeight="1" thickTop="1" thickBot="1">
      <c r="B5" s="510"/>
      <c r="C5" s="316" t="s">
        <v>132</v>
      </c>
      <c r="D5" s="316" t="s">
        <v>133</v>
      </c>
      <c r="E5" s="316" t="s">
        <v>134</v>
      </c>
      <c r="F5" s="316" t="s">
        <v>133</v>
      </c>
    </row>
    <row r="6" spans="2:7" ht="14.25" thickTop="1" thickBot="1">
      <c r="B6" s="272" t="s">
        <v>103</v>
      </c>
      <c r="C6" s="413">
        <v>1540029</v>
      </c>
      <c r="D6" s="280">
        <f>SUM(D7:D13)</f>
        <v>1</v>
      </c>
      <c r="E6" s="413">
        <v>5003673</v>
      </c>
      <c r="F6" s="280">
        <f>SUM(F7:F13)</f>
        <v>1</v>
      </c>
      <c r="G6" s="47"/>
    </row>
    <row r="7" spans="2:7" ht="16.5" thickTop="1" thickBot="1">
      <c r="B7" s="272" t="s">
        <v>1072</v>
      </c>
      <c r="C7" s="413">
        <v>65201</v>
      </c>
      <c r="D7" s="280">
        <f>+C7/$C$6</f>
        <v>4.2337514423429687E-2</v>
      </c>
      <c r="E7" s="413">
        <v>183874</v>
      </c>
      <c r="F7" s="280">
        <f>+E7/$E$6</f>
        <v>3.6747805062401162E-2</v>
      </c>
    </row>
    <row r="8" spans="2:7" ht="16.5" thickTop="1" thickBot="1">
      <c r="B8" s="272" t="s">
        <v>1073</v>
      </c>
      <c r="C8" s="413">
        <v>171975</v>
      </c>
      <c r="D8" s="280">
        <f t="shared" ref="D8:D13" si="0">+C8/$C$6</f>
        <v>0.11166997504592446</v>
      </c>
      <c r="E8" s="413">
        <v>521364</v>
      </c>
      <c r="F8" s="280">
        <f t="shared" ref="F8:F13" si="1">+E8/$E$6</f>
        <v>0.10419625742929244</v>
      </c>
    </row>
    <row r="9" spans="2:7" ht="16.5" thickTop="1" thickBot="1">
      <c r="B9" s="272" t="s">
        <v>1074</v>
      </c>
      <c r="C9" s="413">
        <v>447821</v>
      </c>
      <c r="D9" s="280">
        <f t="shared" si="0"/>
        <v>0.29078738127658638</v>
      </c>
      <c r="E9" s="413">
        <v>1469672</v>
      </c>
      <c r="F9" s="280">
        <f t="shared" si="1"/>
        <v>0.29371863429124967</v>
      </c>
    </row>
    <row r="10" spans="2:7" ht="16.5" thickTop="1" thickBot="1">
      <c r="B10" s="272" t="s">
        <v>1075</v>
      </c>
      <c r="C10" s="413">
        <v>440665</v>
      </c>
      <c r="D10" s="280">
        <f t="shared" si="0"/>
        <v>0.28614071553198023</v>
      </c>
      <c r="E10" s="413">
        <v>1453961</v>
      </c>
      <c r="F10" s="280">
        <f t="shared" si="1"/>
        <v>0.2905787408569665</v>
      </c>
    </row>
    <row r="11" spans="2:7" ht="16.5" thickTop="1" thickBot="1">
      <c r="B11" s="272" t="s">
        <v>1076</v>
      </c>
      <c r="C11" s="413">
        <v>221032</v>
      </c>
      <c r="D11" s="280">
        <f t="shared" si="0"/>
        <v>0.14352456999186378</v>
      </c>
      <c r="E11" s="413">
        <v>737664</v>
      </c>
      <c r="F11" s="280">
        <f t="shared" si="1"/>
        <v>0.14742450196085954</v>
      </c>
    </row>
    <row r="12" spans="2:7" ht="16.5" thickTop="1" thickBot="1">
      <c r="B12" s="272" t="s">
        <v>1077</v>
      </c>
      <c r="C12" s="413">
        <v>102423</v>
      </c>
      <c r="D12" s="280">
        <f t="shared" si="0"/>
        <v>6.6507189150334184E-2</v>
      </c>
      <c r="E12" s="413">
        <v>333335</v>
      </c>
      <c r="F12" s="280">
        <f t="shared" si="1"/>
        <v>6.6618062371381986E-2</v>
      </c>
    </row>
    <row r="13" spans="2:7" ht="15.75" thickTop="1">
      <c r="B13" s="274" t="s">
        <v>1078</v>
      </c>
      <c r="C13" s="419">
        <v>90912</v>
      </c>
      <c r="D13" s="291">
        <f t="shared" si="0"/>
        <v>5.9032654579881286E-2</v>
      </c>
      <c r="E13" s="419">
        <v>303803</v>
      </c>
      <c r="F13" s="291">
        <f t="shared" si="1"/>
        <v>6.0715998027848744E-2</v>
      </c>
    </row>
    <row r="14" spans="2:7" ht="15" thickBot="1">
      <c r="B14" s="273"/>
      <c r="C14" s="249"/>
      <c r="D14" s="279"/>
      <c r="E14" s="249"/>
      <c r="F14" s="279"/>
    </row>
    <row r="15" spans="2:7" ht="14.25" thickTop="1" thickBot="1">
      <c r="B15" s="495" t="s">
        <v>513</v>
      </c>
      <c r="C15" s="496"/>
      <c r="D15" s="496"/>
      <c r="E15" s="496"/>
      <c r="F15" s="496"/>
    </row>
    <row r="16" spans="2:7" ht="13.5" thickTop="1"/>
    <row r="17" spans="2:6" ht="15">
      <c r="B17" s="6"/>
      <c r="C17" s="49"/>
      <c r="D17" s="49"/>
      <c r="E17" s="49"/>
      <c r="F17" s="49"/>
    </row>
    <row r="18" spans="2:6" ht="15">
      <c r="B18" s="6"/>
      <c r="C18" s="49"/>
      <c r="D18" s="49"/>
      <c r="E18" s="49"/>
      <c r="F18" s="49"/>
    </row>
    <row r="19" spans="2:6" ht="15">
      <c r="B19" s="6"/>
      <c r="C19" s="49"/>
      <c r="D19" s="49"/>
      <c r="E19" s="49"/>
      <c r="F19" s="49"/>
    </row>
    <row r="20" spans="2:6" ht="15">
      <c r="B20" s="6"/>
      <c r="C20" s="49"/>
      <c r="D20" s="49"/>
      <c r="E20" s="49"/>
      <c r="F20" s="49"/>
    </row>
    <row r="21" spans="2:6" ht="15">
      <c r="B21" s="6"/>
      <c r="C21" s="49"/>
      <c r="D21" s="49"/>
      <c r="E21" s="49"/>
      <c r="F21" s="49"/>
    </row>
    <row r="22" spans="2:6" ht="15">
      <c r="B22" s="6"/>
      <c r="C22" s="50"/>
      <c r="D22" s="50"/>
      <c r="E22" s="50"/>
      <c r="F22" s="50"/>
    </row>
    <row r="23" spans="2:6" ht="15">
      <c r="B23" s="6"/>
      <c r="C23" s="49"/>
      <c r="D23" s="49"/>
      <c r="E23" s="49"/>
      <c r="F23" s="49"/>
    </row>
    <row r="24" spans="2:6" ht="15">
      <c r="B24" s="6"/>
      <c r="C24" s="49"/>
      <c r="D24" s="49"/>
      <c r="E24" s="49"/>
      <c r="F24" s="49"/>
    </row>
    <row r="25" spans="2:6" ht="15">
      <c r="B25" s="6"/>
      <c r="C25" s="49"/>
      <c r="D25" s="49"/>
      <c r="E25" s="49"/>
      <c r="F25" s="49"/>
    </row>
    <row r="26" spans="2:6" ht="15">
      <c r="B26" s="51"/>
      <c r="C26" s="49"/>
      <c r="D26" s="49"/>
      <c r="E26" s="49"/>
      <c r="F26" s="49"/>
    </row>
    <row r="27" spans="2:6" ht="15">
      <c r="B27" s="6"/>
      <c r="C27" s="49"/>
      <c r="D27" s="49"/>
      <c r="E27" s="49"/>
      <c r="F27" s="49"/>
    </row>
    <row r="28" spans="2:6" ht="15">
      <c r="B28" s="6"/>
      <c r="C28" s="49"/>
      <c r="D28" s="49"/>
      <c r="E28" s="49"/>
      <c r="F28" s="49"/>
    </row>
    <row r="29" spans="2:6" ht="15">
      <c r="B29" s="6"/>
      <c r="C29" s="49"/>
      <c r="D29" s="49"/>
      <c r="E29" s="49"/>
      <c r="F29" s="49"/>
    </row>
    <row r="30" spans="2:6" ht="15">
      <c r="B30" s="6"/>
      <c r="C30" s="49"/>
      <c r="D30" s="49"/>
      <c r="E30" s="49"/>
      <c r="F30" s="49"/>
    </row>
    <row r="31" spans="2:6" ht="15">
      <c r="B31" s="6"/>
      <c r="C31" s="49"/>
      <c r="D31" s="49"/>
      <c r="E31" s="49"/>
      <c r="F31" s="49"/>
    </row>
    <row r="32" spans="2:6" ht="15">
      <c r="B32" s="6"/>
      <c r="C32" s="50"/>
      <c r="D32" s="50"/>
      <c r="E32" s="50"/>
      <c r="F32" s="50"/>
    </row>
    <row r="33" spans="2:6" ht="15">
      <c r="B33" s="6"/>
      <c r="C33" s="49"/>
      <c r="D33" s="49"/>
      <c r="E33" s="49"/>
      <c r="F33" s="49"/>
    </row>
    <row r="34" spans="2:6" ht="15">
      <c r="B34" s="6"/>
      <c r="C34" s="49"/>
      <c r="D34" s="49"/>
      <c r="E34" s="49"/>
      <c r="F34" s="49"/>
    </row>
    <row r="35" spans="2:6" ht="15">
      <c r="B35" s="6"/>
      <c r="C35" s="49"/>
      <c r="D35" s="49"/>
      <c r="E35" s="49"/>
      <c r="F35" s="49"/>
    </row>
    <row r="36" spans="2:6" ht="15">
      <c r="B36" s="51"/>
      <c r="C36" s="49"/>
      <c r="D36" s="49"/>
      <c r="E36" s="49"/>
      <c r="F36" s="49"/>
    </row>
    <row r="37" spans="2:6" ht="15">
      <c r="B37" s="6"/>
      <c r="C37" s="49"/>
      <c r="D37" s="49"/>
      <c r="E37" s="49"/>
      <c r="F37" s="49"/>
    </row>
    <row r="38" spans="2:6" ht="15">
      <c r="B38" s="6"/>
      <c r="C38" s="49"/>
      <c r="D38" s="49"/>
      <c r="E38" s="49"/>
      <c r="F38" s="49"/>
    </row>
    <row r="39" spans="2:6" ht="15">
      <c r="B39" s="6"/>
      <c r="C39" s="49"/>
      <c r="D39" s="49"/>
      <c r="E39" s="49"/>
      <c r="F39" s="49"/>
    </row>
    <row r="40" spans="2:6" ht="15">
      <c r="B40" s="6"/>
      <c r="C40" s="49"/>
      <c r="D40" s="49"/>
      <c r="E40" s="49"/>
      <c r="F40" s="49"/>
    </row>
    <row r="41" spans="2:6" ht="15">
      <c r="B41" s="6"/>
      <c r="C41" s="49"/>
      <c r="D41" s="49"/>
      <c r="E41" s="49"/>
      <c r="F41" s="49"/>
    </row>
    <row r="42" spans="2:6" ht="15">
      <c r="B42" s="6"/>
      <c r="C42" s="50"/>
      <c r="D42" s="50"/>
      <c r="E42" s="50"/>
      <c r="F42" s="50"/>
    </row>
    <row r="43" spans="2:6" ht="15">
      <c r="B43" s="6"/>
      <c r="C43" s="50"/>
      <c r="D43" s="50"/>
      <c r="E43" s="50"/>
      <c r="F43" s="49"/>
    </row>
    <row r="44" spans="2:6">
      <c r="B44" s="52"/>
      <c r="C44" s="52"/>
      <c r="D44" s="52"/>
      <c r="E44" s="52"/>
      <c r="F44" s="52"/>
    </row>
  </sheetData>
  <mergeCells count="5">
    <mergeCell ref="B15:F15"/>
    <mergeCell ref="B2:F2"/>
    <mergeCell ref="B3:F3"/>
    <mergeCell ref="C4:F4"/>
    <mergeCell ref="B4:B5"/>
  </mergeCells>
  <hyperlinks>
    <hyperlink ref="B3:F3" location="'Capitulo 3'!B22" display="Viviendas ocupadas y número de ocupantes, según metros cuadrados de construcción. 2018." xr:uid="{00000000-0004-0000-11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44"/>
  <sheetViews>
    <sheetView showGridLines="0" zoomScaleNormal="100" workbookViewId="0">
      <pane ySplit="5" topLeftCell="A6" activePane="bottomLeft" state="frozen"/>
      <selection pane="bottomLeft" activeCell="J20" sqref="J20"/>
    </sheetView>
  </sheetViews>
  <sheetFormatPr baseColWidth="10" defaultColWidth="31.7109375" defaultRowHeight="12.75"/>
  <cols>
    <col min="1" max="1" width="10.7109375" style="3" customWidth="1"/>
    <col min="2" max="3" width="29" style="3" customWidth="1"/>
    <col min="4" max="4" width="23.7109375" style="3" customWidth="1"/>
    <col min="5" max="5" width="20.7109375" style="3" customWidth="1"/>
    <col min="6" max="6" width="20" style="3" customWidth="1"/>
    <col min="7" max="7" width="21" style="3" customWidth="1"/>
    <col min="8" max="12" width="31.7109375" style="3" customWidth="1"/>
    <col min="13" max="16384" width="31.7109375" style="3"/>
  </cols>
  <sheetData>
    <row r="2" spans="2:9" ht="15">
      <c r="B2" s="462" t="s">
        <v>293</v>
      </c>
      <c r="C2" s="462"/>
      <c r="D2" s="462"/>
      <c r="E2" s="462"/>
      <c r="F2" s="462"/>
      <c r="G2" s="462"/>
      <c r="H2" s="462"/>
      <c r="I2" s="462"/>
    </row>
    <row r="3" spans="2:9" ht="35.25" customHeight="1" thickBot="1">
      <c r="B3" s="482" t="s">
        <v>669</v>
      </c>
      <c r="C3" s="482"/>
      <c r="D3" s="482"/>
      <c r="E3" s="482"/>
      <c r="F3" s="482"/>
      <c r="G3" s="482"/>
      <c r="H3" s="482"/>
      <c r="I3" s="482"/>
    </row>
    <row r="4" spans="2:9" ht="30" customHeight="1" thickTop="1" thickBot="1">
      <c r="B4" s="494" t="s">
        <v>131</v>
      </c>
      <c r="C4" s="494" t="s">
        <v>4</v>
      </c>
      <c r="D4" s="511" t="s">
        <v>115</v>
      </c>
      <c r="E4" s="512"/>
      <c r="F4" s="512"/>
      <c r="G4" s="512"/>
      <c r="H4" s="512"/>
      <c r="I4" s="512"/>
    </row>
    <row r="5" spans="2:9" ht="30" customHeight="1" thickTop="1" thickBot="1">
      <c r="B5" s="510"/>
      <c r="C5" s="510"/>
      <c r="D5" s="316" t="s">
        <v>139</v>
      </c>
      <c r="E5" s="316" t="s">
        <v>117</v>
      </c>
      <c r="F5" s="316" t="s">
        <v>118</v>
      </c>
      <c r="G5" s="316" t="s">
        <v>119</v>
      </c>
      <c r="H5" s="316" t="s">
        <v>275</v>
      </c>
      <c r="I5" s="316" t="s">
        <v>120</v>
      </c>
    </row>
    <row r="6" spans="2:9" ht="15.75" customHeight="1" thickTop="1" thickBot="1">
      <c r="B6" s="272" t="s">
        <v>103</v>
      </c>
      <c r="C6" s="413">
        <f t="shared" ref="C6:I6" si="0">SUM(C7:C13)</f>
        <v>1540029</v>
      </c>
      <c r="D6" s="413">
        <f t="shared" si="0"/>
        <v>949460</v>
      </c>
      <c r="E6" s="413">
        <f t="shared" si="0"/>
        <v>118218</v>
      </c>
      <c r="F6" s="413">
        <f t="shared" si="0"/>
        <v>92270</v>
      </c>
      <c r="G6" s="413">
        <f t="shared" si="0"/>
        <v>123448</v>
      </c>
      <c r="H6" s="413">
        <f t="shared" si="0"/>
        <v>137466</v>
      </c>
      <c r="I6" s="413">
        <f t="shared" si="0"/>
        <v>119167</v>
      </c>
    </row>
    <row r="7" spans="2:9" ht="16.5" thickTop="1" thickBot="1">
      <c r="B7" s="272" t="s">
        <v>1072</v>
      </c>
      <c r="C7" s="413">
        <f t="shared" ref="C7:C13" si="1">SUM(D7:I7)</f>
        <v>65201</v>
      </c>
      <c r="D7" s="413">
        <v>35000</v>
      </c>
      <c r="E7" s="413">
        <v>5665</v>
      </c>
      <c r="F7" s="413">
        <v>6960</v>
      </c>
      <c r="G7" s="413">
        <v>6148</v>
      </c>
      <c r="H7" s="413">
        <v>4906</v>
      </c>
      <c r="I7" s="413">
        <v>6522</v>
      </c>
    </row>
    <row r="8" spans="2:9" ht="16.5" thickTop="1" thickBot="1">
      <c r="B8" s="272" t="s">
        <v>1073</v>
      </c>
      <c r="C8" s="413">
        <f t="shared" si="1"/>
        <v>171975</v>
      </c>
      <c r="D8" s="413">
        <v>88007</v>
      </c>
      <c r="E8" s="413">
        <v>12105</v>
      </c>
      <c r="F8" s="413">
        <v>16948</v>
      </c>
      <c r="G8" s="413">
        <v>18903</v>
      </c>
      <c r="H8" s="413">
        <v>17636</v>
      </c>
      <c r="I8" s="413">
        <v>18376</v>
      </c>
    </row>
    <row r="9" spans="2:9" ht="16.5" thickTop="1" thickBot="1">
      <c r="B9" s="272" t="s">
        <v>1074</v>
      </c>
      <c r="C9" s="413">
        <f t="shared" si="1"/>
        <v>447821</v>
      </c>
      <c r="D9" s="413">
        <v>220460</v>
      </c>
      <c r="E9" s="413">
        <v>45427</v>
      </c>
      <c r="F9" s="413">
        <v>31005</v>
      </c>
      <c r="G9" s="413">
        <v>52442</v>
      </c>
      <c r="H9" s="413">
        <v>56038</v>
      </c>
      <c r="I9" s="413">
        <v>42449</v>
      </c>
    </row>
    <row r="10" spans="2:9" ht="16.5" thickTop="1" thickBot="1">
      <c r="B10" s="272" t="s">
        <v>1075</v>
      </c>
      <c r="C10" s="413">
        <f t="shared" si="1"/>
        <v>440665</v>
      </c>
      <c r="D10" s="413">
        <v>288331</v>
      </c>
      <c r="E10" s="413">
        <v>33682</v>
      </c>
      <c r="F10" s="413">
        <v>18818</v>
      </c>
      <c r="G10" s="413">
        <v>31360</v>
      </c>
      <c r="H10" s="413">
        <v>36939</v>
      </c>
      <c r="I10" s="413">
        <v>31535</v>
      </c>
    </row>
    <row r="11" spans="2:9" ht="16.5" thickTop="1" thickBot="1">
      <c r="B11" s="272" t="s">
        <v>1076</v>
      </c>
      <c r="C11" s="413">
        <f t="shared" si="1"/>
        <v>221032</v>
      </c>
      <c r="D11" s="413">
        <v>159733</v>
      </c>
      <c r="E11" s="413">
        <v>14779</v>
      </c>
      <c r="F11" s="413">
        <v>9605</v>
      </c>
      <c r="G11" s="413">
        <v>9921</v>
      </c>
      <c r="H11" s="413">
        <v>14181</v>
      </c>
      <c r="I11" s="413">
        <v>12813</v>
      </c>
    </row>
    <row r="12" spans="2:9" ht="16.5" thickTop="1" thickBot="1">
      <c r="B12" s="272" t="s">
        <v>1077</v>
      </c>
      <c r="C12" s="413">
        <f t="shared" si="1"/>
        <v>102423</v>
      </c>
      <c r="D12" s="413">
        <v>81557</v>
      </c>
      <c r="E12" s="413">
        <v>3735</v>
      </c>
      <c r="F12" s="413">
        <v>5069</v>
      </c>
      <c r="G12" s="413">
        <v>2000</v>
      </c>
      <c r="H12" s="413">
        <v>5001</v>
      </c>
      <c r="I12" s="413">
        <v>5061</v>
      </c>
    </row>
    <row r="13" spans="2:9" ht="16.5" thickTop="1" thickBot="1">
      <c r="B13" s="274" t="s">
        <v>1078</v>
      </c>
      <c r="C13" s="413">
        <f t="shared" si="1"/>
        <v>90912</v>
      </c>
      <c r="D13" s="413">
        <v>76372</v>
      </c>
      <c r="E13" s="413">
        <v>2825</v>
      </c>
      <c r="F13" s="413">
        <v>3865</v>
      </c>
      <c r="G13" s="413">
        <v>2674</v>
      </c>
      <c r="H13" s="413">
        <v>2765</v>
      </c>
      <c r="I13" s="413">
        <v>2411</v>
      </c>
    </row>
    <row r="14" spans="2:9" ht="15" thickTop="1">
      <c r="B14" s="273"/>
      <c r="C14" s="273"/>
      <c r="D14" s="249"/>
      <c r="E14" s="279"/>
      <c r="F14" s="249"/>
      <c r="G14" s="279"/>
      <c r="H14" s="237"/>
      <c r="I14" s="237"/>
    </row>
    <row r="15" spans="2:9">
      <c r="B15" s="473" t="s">
        <v>513</v>
      </c>
      <c r="C15" s="474"/>
      <c r="D15" s="474"/>
      <c r="E15" s="474"/>
      <c r="F15" s="474"/>
      <c r="G15" s="474"/>
      <c r="H15" s="474"/>
      <c r="I15" s="474"/>
    </row>
    <row r="17" spans="2:7" ht="15">
      <c r="B17" s="6"/>
      <c r="C17" s="6"/>
      <c r="D17" s="49"/>
      <c r="E17" s="49"/>
      <c r="F17" s="49"/>
      <c r="G17" s="49"/>
    </row>
    <row r="18" spans="2:7" ht="15">
      <c r="B18" s="6"/>
      <c r="C18" s="6"/>
      <c r="D18" s="49"/>
      <c r="E18" s="49"/>
      <c r="F18" s="49"/>
      <c r="G18" s="49"/>
    </row>
    <row r="19" spans="2:7" ht="15">
      <c r="B19" s="6"/>
      <c r="C19" s="6"/>
      <c r="D19" s="49"/>
      <c r="E19" s="49"/>
      <c r="F19" s="49"/>
      <c r="G19" s="49"/>
    </row>
    <row r="20" spans="2:7" ht="15">
      <c r="B20" s="6"/>
      <c r="C20" s="6"/>
      <c r="D20" s="49"/>
      <c r="E20" s="49"/>
      <c r="F20" s="49"/>
      <c r="G20" s="49"/>
    </row>
    <row r="21" spans="2:7" ht="15">
      <c r="B21" s="6"/>
      <c r="C21" s="6"/>
      <c r="D21" s="49"/>
      <c r="E21" s="49"/>
      <c r="F21" s="49"/>
      <c r="G21" s="49"/>
    </row>
    <row r="22" spans="2:7" ht="15">
      <c r="B22" s="6"/>
      <c r="C22" s="6"/>
      <c r="D22" s="50"/>
      <c r="E22" s="50"/>
      <c r="F22" s="50"/>
      <c r="G22" s="50"/>
    </row>
    <row r="23" spans="2:7" ht="15">
      <c r="B23" s="6"/>
      <c r="C23" s="6"/>
      <c r="D23" s="49"/>
      <c r="E23" s="49"/>
      <c r="F23" s="49"/>
      <c r="G23" s="49"/>
    </row>
    <row r="24" spans="2:7" ht="15">
      <c r="B24" s="6"/>
      <c r="C24" s="6"/>
      <c r="D24" s="49"/>
      <c r="E24" s="49"/>
      <c r="F24" s="49"/>
      <c r="G24" s="49"/>
    </row>
    <row r="25" spans="2:7" ht="15">
      <c r="B25" s="6"/>
      <c r="C25" s="6"/>
      <c r="D25" s="49"/>
      <c r="E25" s="49"/>
      <c r="F25" s="49"/>
      <c r="G25" s="49"/>
    </row>
    <row r="26" spans="2:7" ht="15">
      <c r="B26" s="51"/>
      <c r="C26" s="51"/>
      <c r="D26" s="49"/>
      <c r="E26" s="49"/>
      <c r="F26" s="49"/>
      <c r="G26" s="49"/>
    </row>
    <row r="27" spans="2:7" ht="15">
      <c r="B27" s="6"/>
      <c r="C27" s="6"/>
      <c r="D27" s="49"/>
      <c r="E27" s="49"/>
      <c r="F27" s="49"/>
      <c r="G27" s="49"/>
    </row>
    <row r="28" spans="2:7" ht="15">
      <c r="B28" s="6"/>
      <c r="C28" s="6"/>
      <c r="D28" s="49"/>
      <c r="E28" s="49"/>
      <c r="F28" s="49"/>
      <c r="G28" s="49"/>
    </row>
    <row r="29" spans="2:7" ht="15">
      <c r="B29" s="6"/>
      <c r="C29" s="6"/>
      <c r="D29" s="49"/>
      <c r="E29" s="49"/>
      <c r="F29" s="49"/>
      <c r="G29" s="49"/>
    </row>
    <row r="30" spans="2:7" ht="15">
      <c r="B30" s="6"/>
      <c r="C30" s="6"/>
      <c r="D30" s="49"/>
      <c r="E30" s="49"/>
      <c r="F30" s="49"/>
      <c r="G30" s="49"/>
    </row>
    <row r="31" spans="2:7" ht="15">
      <c r="B31" s="6"/>
      <c r="C31" s="6"/>
      <c r="D31" s="49"/>
      <c r="E31" s="49"/>
      <c r="F31" s="49"/>
      <c r="G31" s="49"/>
    </row>
    <row r="32" spans="2:7" ht="15">
      <c r="B32" s="6"/>
      <c r="C32" s="6"/>
      <c r="D32" s="50"/>
      <c r="E32" s="50"/>
      <c r="F32" s="50"/>
      <c r="G32" s="50"/>
    </row>
    <row r="33" spans="2:7" ht="15">
      <c r="B33" s="6"/>
      <c r="C33" s="6"/>
      <c r="D33" s="49"/>
      <c r="E33" s="49"/>
      <c r="F33" s="49"/>
      <c r="G33" s="49"/>
    </row>
    <row r="34" spans="2:7" ht="15">
      <c r="B34" s="6"/>
      <c r="C34" s="6"/>
      <c r="D34" s="49"/>
      <c r="E34" s="49"/>
      <c r="F34" s="49"/>
      <c r="G34" s="49"/>
    </row>
    <row r="35" spans="2:7" ht="15">
      <c r="B35" s="6"/>
      <c r="C35" s="6"/>
      <c r="D35" s="49"/>
      <c r="E35" s="49"/>
      <c r="F35" s="49"/>
      <c r="G35" s="49"/>
    </row>
    <row r="36" spans="2:7" ht="15">
      <c r="B36" s="51"/>
      <c r="C36" s="51"/>
      <c r="D36" s="49"/>
      <c r="E36" s="49"/>
      <c r="F36" s="49"/>
      <c r="G36" s="49"/>
    </row>
    <row r="37" spans="2:7" ht="15">
      <c r="B37" s="6"/>
      <c r="C37" s="6"/>
      <c r="D37" s="49"/>
      <c r="E37" s="49"/>
      <c r="F37" s="49"/>
      <c r="G37" s="49"/>
    </row>
    <row r="38" spans="2:7" ht="15">
      <c r="B38" s="6"/>
      <c r="C38" s="6"/>
      <c r="D38" s="49"/>
      <c r="E38" s="49"/>
      <c r="F38" s="49"/>
      <c r="G38" s="49"/>
    </row>
    <row r="39" spans="2:7" ht="15">
      <c r="B39" s="6"/>
      <c r="C39" s="6"/>
      <c r="D39" s="49"/>
      <c r="E39" s="49"/>
      <c r="F39" s="49"/>
      <c r="G39" s="49"/>
    </row>
    <row r="40" spans="2:7" ht="15">
      <c r="B40" s="6"/>
      <c r="C40" s="6"/>
      <c r="D40" s="49"/>
      <c r="E40" s="49"/>
      <c r="F40" s="49"/>
      <c r="G40" s="49"/>
    </row>
    <row r="41" spans="2:7" ht="15">
      <c r="B41" s="6"/>
      <c r="C41" s="6"/>
      <c r="D41" s="49"/>
      <c r="E41" s="49"/>
      <c r="F41" s="49"/>
      <c r="G41" s="49"/>
    </row>
    <row r="42" spans="2:7" ht="15">
      <c r="B42" s="6"/>
      <c r="C42" s="6"/>
      <c r="D42" s="50"/>
      <c r="E42" s="50"/>
      <c r="F42" s="50"/>
      <c r="G42" s="50"/>
    </row>
    <row r="43" spans="2:7" ht="15">
      <c r="B43" s="6"/>
      <c r="C43" s="6"/>
      <c r="D43" s="50"/>
      <c r="E43" s="50"/>
      <c r="F43" s="50"/>
      <c r="G43" s="49"/>
    </row>
    <row r="44" spans="2:7">
      <c r="B44" s="52"/>
      <c r="C44" s="52"/>
      <c r="D44" s="52"/>
      <c r="E44" s="52"/>
      <c r="F44" s="52"/>
      <c r="G44" s="52"/>
    </row>
  </sheetData>
  <mergeCells count="6">
    <mergeCell ref="B15:I15"/>
    <mergeCell ref="B4:B5"/>
    <mergeCell ref="D4:I4"/>
    <mergeCell ref="B2:I2"/>
    <mergeCell ref="B3:I3"/>
    <mergeCell ref="C4:C5"/>
  </mergeCells>
  <hyperlinks>
    <hyperlink ref="B3:I3" location="'Capitulo 3'!B23" display="Viviendas ocupadas por región, según metros cuadrados de construcción. 2018." xr:uid="{00000000-0004-0000-12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43E97"/>
  </sheetPr>
  <dimension ref="A14:K23"/>
  <sheetViews>
    <sheetView showGridLines="0" topLeftCell="A7" workbookViewId="0">
      <selection activeCell="A15" sqref="A15:I15"/>
    </sheetView>
  </sheetViews>
  <sheetFormatPr baseColWidth="10" defaultRowHeight="12.75"/>
  <cols>
    <col min="1" max="1" width="12" style="3" customWidth="1"/>
    <col min="2" max="8" width="11.42578125" style="3"/>
    <col min="9" max="9" width="8.85546875" style="3" customWidth="1"/>
    <col min="10" max="10" width="11.42578125" style="3" customWidth="1"/>
    <col min="11" max="11" width="11.42578125" style="3"/>
  </cols>
  <sheetData>
    <row r="14" spans="1:10">
      <c r="A14" s="208"/>
      <c r="B14" s="208"/>
      <c r="C14" s="208"/>
      <c r="D14" s="208"/>
      <c r="E14" s="208"/>
      <c r="F14" s="208"/>
      <c r="G14" s="208"/>
      <c r="H14" s="208"/>
      <c r="I14" s="208"/>
    </row>
    <row r="15" spans="1:10" ht="18">
      <c r="A15" s="444" t="s">
        <v>12</v>
      </c>
      <c r="B15" s="445"/>
      <c r="C15" s="445"/>
      <c r="D15" s="445"/>
      <c r="E15" s="445"/>
      <c r="F15" s="445"/>
      <c r="G15" s="445"/>
      <c r="H15" s="445"/>
      <c r="I15" s="446"/>
      <c r="J15" s="209"/>
    </row>
    <row r="16" spans="1:10">
      <c r="A16" s="237"/>
      <c r="B16" s="237"/>
      <c r="C16" s="237"/>
      <c r="D16" s="237"/>
      <c r="E16" s="237"/>
      <c r="F16" s="237"/>
      <c r="G16" s="237"/>
      <c r="H16" s="237"/>
      <c r="I16" s="237"/>
    </row>
    <row r="17" spans="1:9" ht="21" customHeight="1">
      <c r="A17" s="449" t="s">
        <v>466</v>
      </c>
      <c r="B17" s="449"/>
      <c r="C17" s="449"/>
      <c r="D17" s="449"/>
      <c r="E17" s="449"/>
      <c r="F17" s="449"/>
      <c r="G17" s="449"/>
      <c r="H17" s="449"/>
      <c r="I17" s="449"/>
    </row>
    <row r="18" spans="1:9">
      <c r="A18" s="237"/>
      <c r="B18" s="237"/>
      <c r="C18" s="237"/>
      <c r="D18" s="237"/>
      <c r="E18" s="237"/>
      <c r="F18" s="237"/>
      <c r="G18" s="237"/>
      <c r="H18" s="237"/>
      <c r="I18" s="237"/>
    </row>
    <row r="19" spans="1:9" ht="15" customHeight="1">
      <c r="A19" s="238" t="s">
        <v>0</v>
      </c>
      <c r="B19" s="447" t="s">
        <v>567</v>
      </c>
      <c r="C19" s="447"/>
      <c r="D19" s="447"/>
      <c r="E19" s="447"/>
      <c r="F19" s="447"/>
      <c r="G19" s="447"/>
      <c r="H19" s="447"/>
      <c r="I19" s="447"/>
    </row>
    <row r="20" spans="1:9" ht="15" customHeight="1">
      <c r="A20" s="238" t="s">
        <v>1</v>
      </c>
      <c r="B20" s="447" t="s">
        <v>438</v>
      </c>
      <c r="C20" s="447"/>
      <c r="D20" s="447"/>
      <c r="E20" s="447"/>
      <c r="F20" s="447"/>
      <c r="G20" s="447"/>
      <c r="H20" s="447"/>
      <c r="I20" s="447"/>
    </row>
    <row r="21" spans="1:9" ht="14.25">
      <c r="A21" s="238" t="s">
        <v>2</v>
      </c>
      <c r="B21" s="447" t="s">
        <v>464</v>
      </c>
      <c r="C21" s="447"/>
      <c r="D21" s="447"/>
      <c r="E21" s="447"/>
      <c r="F21" s="447"/>
      <c r="G21" s="447"/>
      <c r="H21" s="447"/>
      <c r="I21" s="447"/>
    </row>
    <row r="22" spans="1:9" ht="28.5" customHeight="1">
      <c r="A22" s="239" t="s">
        <v>439</v>
      </c>
      <c r="B22" s="448" t="s">
        <v>465</v>
      </c>
      <c r="C22" s="448"/>
      <c r="D22" s="448"/>
      <c r="E22" s="448"/>
      <c r="F22" s="448"/>
      <c r="G22" s="448"/>
      <c r="H22" s="448"/>
      <c r="I22" s="448"/>
    </row>
    <row r="23" spans="1:9" ht="14.25">
      <c r="A23" s="238" t="s">
        <v>440</v>
      </c>
      <c r="B23" s="447" t="s">
        <v>585</v>
      </c>
      <c r="C23" s="447"/>
      <c r="D23" s="447"/>
      <c r="E23" s="447"/>
      <c r="F23" s="447"/>
      <c r="G23" s="447"/>
      <c r="H23" s="447"/>
      <c r="I23" s="447"/>
    </row>
  </sheetData>
  <mergeCells count="7">
    <mergeCell ref="A15:I15"/>
    <mergeCell ref="B21:I21"/>
    <mergeCell ref="B22:I22"/>
    <mergeCell ref="B20:I20"/>
    <mergeCell ref="B23:I23"/>
    <mergeCell ref="A17:I17"/>
    <mergeCell ref="B19:I19"/>
  </mergeCells>
  <phoneticPr fontId="0" type="noConversion"/>
  <hyperlinks>
    <hyperlink ref="A15:I15" location="'Compendio de Vivienda 2018'!F29" display="Capítulo 1:  Área de vivienda en la economía nacional" xr:uid="{00000000-0004-0000-0100-000000000000}"/>
    <hyperlink ref="B19:I19" location="'c1 '!B3" display="Producto Interno Bruto por actividad económica a precios básicos y de mercado. 2017-2018." xr:uid="{00000000-0004-0000-0100-000001000000}"/>
    <hyperlink ref="B20:I20" location="'c2'!B3" display="Población ocupada total y número de ocupados en el Sector Construcción. 2015-2018." xr:uid="{00000000-0004-0000-0100-000002000000}"/>
    <hyperlink ref="B21:I21" location="'c3'!B3" display="Tasa de Política Monetaria y Tasa Básica Pasiva. 2015-2018. " xr:uid="{00000000-0004-0000-0100-000003000000}"/>
    <hyperlink ref="B22:I22" location="'c4'!B3" display="Tasas de interés para vivienda en colones y dólares: bancos estatales, bancos privados y entidades financieras no bancarias. 2015-2018." xr:uid="{00000000-0004-0000-0100-000004000000}"/>
    <hyperlink ref="B23:I23" location="'c5'!B3" display="Crédito del Sistema Financiero al sector privado en vivienda y construcción. 2015-2018." xr:uid="{00000000-0004-0000-0100-000005000000}"/>
  </hyperlinks>
  <pageMargins left="0.75" right="0.75" top="1" bottom="1" header="0" footer="0"/>
  <pageSetup orientation="portrait" verticalDpi="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F153"/>
  <sheetViews>
    <sheetView showGridLines="0" zoomScaleNormal="100" workbookViewId="0">
      <pane ySplit="5" topLeftCell="A6" activePane="bottomLeft" state="frozen"/>
      <selection pane="bottomLeft" activeCell="J29" sqref="J29"/>
    </sheetView>
  </sheetViews>
  <sheetFormatPr baseColWidth="10" defaultColWidth="31.7109375" defaultRowHeight="12.75"/>
  <cols>
    <col min="1" max="1" width="14.42578125" style="3" customWidth="1"/>
    <col min="2" max="2" width="27" style="3" customWidth="1"/>
    <col min="3" max="3" width="22.7109375" style="3" customWidth="1"/>
    <col min="4" max="4" width="17.85546875" style="3" customWidth="1"/>
    <col min="5" max="5" width="16.85546875" style="3" bestFit="1" customWidth="1"/>
    <col min="6" max="16384" width="31.7109375" style="3"/>
  </cols>
  <sheetData>
    <row r="1" spans="2:6" ht="15.75">
      <c r="B1" s="28"/>
      <c r="C1" s="10"/>
    </row>
    <row r="2" spans="2:6" ht="15">
      <c r="B2" s="462" t="s">
        <v>294</v>
      </c>
      <c r="C2" s="462"/>
      <c r="D2" s="462"/>
      <c r="E2" s="462"/>
    </row>
    <row r="3" spans="2:6" ht="20.25" customHeight="1" thickBot="1">
      <c r="B3" s="482" t="s">
        <v>650</v>
      </c>
      <c r="C3" s="482"/>
      <c r="D3" s="482"/>
      <c r="E3" s="482"/>
    </row>
    <row r="4" spans="2:6" ht="14.25" thickTop="1" thickBot="1">
      <c r="B4" s="494" t="s">
        <v>651</v>
      </c>
      <c r="C4" s="459" t="s">
        <v>135</v>
      </c>
      <c r="D4" s="460"/>
      <c r="E4" s="461"/>
    </row>
    <row r="5" spans="2:6" ht="14.25" thickTop="1" thickBot="1">
      <c r="B5" s="503"/>
      <c r="C5" s="315" t="s">
        <v>136</v>
      </c>
      <c r="D5" s="315" t="s">
        <v>137</v>
      </c>
      <c r="E5" s="315" t="s">
        <v>138</v>
      </c>
    </row>
    <row r="6" spans="2:6" ht="14.25" thickTop="1" thickBot="1">
      <c r="B6" s="272" t="s">
        <v>103</v>
      </c>
      <c r="C6" s="413">
        <v>905763</v>
      </c>
      <c r="D6" s="413">
        <v>501370</v>
      </c>
      <c r="E6" s="413">
        <v>132896</v>
      </c>
      <c r="F6" s="183"/>
    </row>
    <row r="7" spans="2:6" ht="14.25" thickTop="1" thickBot="1">
      <c r="B7" s="272"/>
      <c r="C7" s="413"/>
      <c r="D7" s="413"/>
      <c r="E7" s="413"/>
      <c r="F7" s="183"/>
    </row>
    <row r="8" spans="2:6" ht="14.25" thickTop="1" thickBot="1">
      <c r="B8" s="272" t="s">
        <v>115</v>
      </c>
      <c r="C8" s="413"/>
      <c r="D8" s="413"/>
      <c r="E8" s="413"/>
      <c r="F8" s="183"/>
    </row>
    <row r="9" spans="2:6" ht="14.25" thickTop="1" thickBot="1">
      <c r="B9" s="272" t="s">
        <v>340</v>
      </c>
      <c r="C9" s="413">
        <v>630476</v>
      </c>
      <c r="D9" s="413">
        <v>264116</v>
      </c>
      <c r="E9" s="413">
        <v>54868</v>
      </c>
    </row>
    <row r="10" spans="2:6" ht="14.25" thickTop="1" thickBot="1">
      <c r="B10" s="272" t="s">
        <v>341</v>
      </c>
      <c r="C10" s="413">
        <v>57094</v>
      </c>
      <c r="D10" s="413">
        <v>50777</v>
      </c>
      <c r="E10" s="413">
        <v>10347</v>
      </c>
    </row>
    <row r="11" spans="2:6" ht="14.25" thickTop="1" thickBot="1">
      <c r="B11" s="272" t="s">
        <v>342</v>
      </c>
      <c r="C11" s="413">
        <v>42043</v>
      </c>
      <c r="D11" s="413">
        <v>37267</v>
      </c>
      <c r="E11" s="413">
        <v>12960</v>
      </c>
    </row>
    <row r="12" spans="2:6" ht="14.25" thickTop="1" thickBot="1">
      <c r="B12" s="272" t="s">
        <v>343</v>
      </c>
      <c r="C12" s="413">
        <v>57557</v>
      </c>
      <c r="D12" s="413">
        <v>50318</v>
      </c>
      <c r="E12" s="413">
        <v>15573</v>
      </c>
    </row>
    <row r="13" spans="2:6" ht="14.25" thickTop="1" thickBot="1">
      <c r="B13" s="272" t="s">
        <v>344</v>
      </c>
      <c r="C13" s="413">
        <v>59070</v>
      </c>
      <c r="D13" s="413">
        <v>54019</v>
      </c>
      <c r="E13" s="413">
        <v>24377</v>
      </c>
    </row>
    <row r="14" spans="2:6" ht="14.25" thickTop="1" thickBot="1">
      <c r="B14" s="272" t="s">
        <v>345</v>
      </c>
      <c r="C14" s="413">
        <v>59523</v>
      </c>
      <c r="D14" s="413">
        <v>44873</v>
      </c>
      <c r="E14" s="413">
        <v>14771</v>
      </c>
    </row>
    <row r="15" spans="2:6" ht="13.5" thickTop="1">
      <c r="B15" s="297"/>
      <c r="C15" s="412"/>
      <c r="D15" s="412"/>
      <c r="E15" s="412"/>
    </row>
    <row r="16" spans="2:6" ht="13.5" thickBot="1">
      <c r="B16" s="297" t="s">
        <v>607</v>
      </c>
      <c r="C16" s="412"/>
      <c r="D16" s="412"/>
      <c r="E16" s="412"/>
    </row>
    <row r="17" spans="2:5" ht="14.25" thickTop="1" thickBot="1">
      <c r="B17" s="297" t="s">
        <v>687</v>
      </c>
      <c r="C17" s="413">
        <v>701589</v>
      </c>
      <c r="D17" s="413">
        <v>330324</v>
      </c>
      <c r="E17" s="413">
        <v>81409</v>
      </c>
    </row>
    <row r="18" spans="2:5" ht="14.25" thickTop="1" thickBot="1">
      <c r="B18" s="297" t="s">
        <v>652</v>
      </c>
      <c r="C18" s="413">
        <v>204174</v>
      </c>
      <c r="D18" s="413">
        <v>171046</v>
      </c>
      <c r="E18" s="413">
        <v>51487</v>
      </c>
    </row>
    <row r="19" spans="2:5" ht="15.75" thickTop="1" thickBot="1">
      <c r="B19" s="294"/>
      <c r="C19" s="295"/>
      <c r="D19" s="296"/>
      <c r="E19" s="296"/>
    </row>
    <row r="20" spans="2:5" ht="14.25" thickTop="1" thickBot="1">
      <c r="B20" s="469" t="s">
        <v>513</v>
      </c>
      <c r="C20" s="470"/>
      <c r="D20" s="470"/>
      <c r="E20" s="470"/>
    </row>
    <row r="21" spans="2:5" ht="16.5" thickTop="1">
      <c r="B21" s="53"/>
      <c r="C21" s="54"/>
    </row>
    <row r="22" spans="2:5" ht="16.5">
      <c r="B22" s="55"/>
      <c r="C22" s="54"/>
      <c r="D22" s="54"/>
      <c r="E22" s="54"/>
    </row>
    <row r="23" spans="2:5" ht="15.75">
      <c r="B23" s="53"/>
      <c r="C23" s="54"/>
      <c r="D23" s="54"/>
      <c r="E23" s="54"/>
    </row>
    <row r="24" spans="2:5" ht="15.75">
      <c r="B24" s="53"/>
      <c r="C24" s="54"/>
    </row>
    <row r="25" spans="2:5" ht="15.75">
      <c r="B25" s="53"/>
      <c r="C25" s="54"/>
    </row>
    <row r="26" spans="2:5" ht="15.75">
      <c r="B26" s="53"/>
      <c r="C26" s="54"/>
    </row>
    <row r="27" spans="2:5" ht="15.75">
      <c r="B27" s="53"/>
      <c r="C27" s="54"/>
    </row>
    <row r="28" spans="2:5" ht="15.75">
      <c r="B28" s="53"/>
      <c r="C28" s="54"/>
    </row>
    <row r="29" spans="2:5" ht="16.5">
      <c r="B29" s="55"/>
      <c r="C29" s="54"/>
    </row>
    <row r="30" spans="2:5" ht="15.75">
      <c r="B30" s="53"/>
      <c r="C30" s="54"/>
    </row>
    <row r="31" spans="2:5" ht="15.75">
      <c r="B31" s="53"/>
      <c r="C31" s="54"/>
    </row>
    <row r="32" spans="2:5" ht="15.75">
      <c r="B32" s="53"/>
      <c r="C32" s="54"/>
    </row>
    <row r="33" spans="2:3" ht="15.75">
      <c r="B33" s="53"/>
      <c r="C33" s="54"/>
    </row>
    <row r="34" spans="2:3" ht="15.75">
      <c r="B34" s="53"/>
      <c r="C34" s="54"/>
    </row>
    <row r="35" spans="2:3" ht="15.75">
      <c r="B35" s="53"/>
      <c r="C35" s="54"/>
    </row>
    <row r="36" spans="2:3" ht="29.25" customHeight="1">
      <c r="B36" s="513"/>
      <c r="C36" s="513"/>
    </row>
    <row r="37" spans="2:3" ht="15.75">
      <c r="B37" s="2"/>
      <c r="C37" s="54"/>
    </row>
    <row r="38" spans="2:3" ht="16.5">
      <c r="B38" s="515"/>
      <c r="C38" s="515"/>
    </row>
    <row r="39" spans="2:3" ht="16.5">
      <c r="B39" s="515"/>
      <c r="C39" s="515"/>
    </row>
    <row r="40" spans="2:3" ht="16.5">
      <c r="B40" s="515"/>
      <c r="C40" s="515"/>
    </row>
    <row r="41" spans="2:3" ht="16.5">
      <c r="B41" s="515"/>
      <c r="C41" s="515"/>
    </row>
    <row r="42" spans="2:3" ht="16.5">
      <c r="B42" s="57"/>
      <c r="C42" s="57"/>
    </row>
    <row r="43" spans="2:3" ht="16.5">
      <c r="B43" s="56"/>
      <c r="C43" s="58"/>
    </row>
    <row r="44" spans="2:3" ht="15">
      <c r="B44" s="59"/>
      <c r="C44" s="60"/>
    </row>
    <row r="45" spans="2:3" ht="15">
      <c r="B45" s="59"/>
      <c r="C45" s="60"/>
    </row>
    <row r="46" spans="2:3" ht="15">
      <c r="B46" s="61"/>
      <c r="C46" s="59"/>
    </row>
    <row r="47" spans="2:3" ht="15">
      <c r="B47" s="59"/>
      <c r="C47" s="60"/>
    </row>
    <row r="48" spans="2:3" ht="19.5" customHeight="1">
      <c r="B48" s="59"/>
      <c r="C48" s="60"/>
    </row>
    <row r="49" spans="2:3" ht="15.75" customHeight="1">
      <c r="B49" s="59"/>
      <c r="C49" s="60"/>
    </row>
    <row r="50" spans="2:3" ht="19.5" customHeight="1">
      <c r="B50" s="59"/>
      <c r="C50" s="60"/>
    </row>
    <row r="51" spans="2:3" ht="18.75" customHeight="1">
      <c r="B51" s="59"/>
      <c r="C51" s="60"/>
    </row>
    <row r="52" spans="2:3" ht="15">
      <c r="B52" s="59"/>
      <c r="C52" s="60"/>
    </row>
    <row r="53" spans="2:3" ht="15">
      <c r="B53" s="59"/>
      <c r="C53" s="60"/>
    </row>
    <row r="54" spans="2:3" ht="15">
      <c r="C54" s="60"/>
    </row>
    <row r="55" spans="2:3" ht="15">
      <c r="B55" s="59"/>
      <c r="C55" s="60"/>
    </row>
    <row r="56" spans="2:3" ht="15">
      <c r="B56" s="61"/>
      <c r="C56" s="60"/>
    </row>
    <row r="57" spans="2:3" ht="15">
      <c r="B57" s="59"/>
      <c r="C57" s="60"/>
    </row>
    <row r="58" spans="2:3" ht="18.75" customHeight="1">
      <c r="B58" s="59"/>
      <c r="C58" s="60"/>
    </row>
    <row r="59" spans="2:3" ht="16.5" customHeight="1">
      <c r="B59" s="59"/>
      <c r="C59" s="60"/>
    </row>
    <row r="60" spans="2:3" ht="16.5" customHeight="1">
      <c r="B60" s="59"/>
      <c r="C60" s="60"/>
    </row>
    <row r="61" spans="2:3" ht="17.25" customHeight="1">
      <c r="B61" s="59"/>
      <c r="C61" s="60"/>
    </row>
    <row r="62" spans="2:3" ht="15">
      <c r="B62" s="59"/>
      <c r="C62" s="60"/>
    </row>
    <row r="63" spans="2:3" ht="15">
      <c r="B63" s="59"/>
      <c r="C63" s="60"/>
    </row>
    <row r="64" spans="2:3" ht="15">
      <c r="C64" s="60"/>
    </row>
    <row r="65" spans="2:3" ht="15">
      <c r="B65" s="59"/>
      <c r="C65" s="60"/>
    </row>
    <row r="66" spans="2:3" ht="15">
      <c r="B66" s="61"/>
      <c r="C66" s="60"/>
    </row>
    <row r="67" spans="2:3" ht="15">
      <c r="B67" s="59"/>
      <c r="C67" s="60"/>
    </row>
    <row r="68" spans="2:3" ht="17.25" customHeight="1">
      <c r="B68" s="59"/>
      <c r="C68" s="60"/>
    </row>
    <row r="69" spans="2:3" ht="18.75" customHeight="1">
      <c r="B69" s="59"/>
      <c r="C69" s="60"/>
    </row>
    <row r="70" spans="2:3" ht="18.75" customHeight="1">
      <c r="B70" s="59"/>
      <c r="C70" s="60"/>
    </row>
    <row r="71" spans="2:3" ht="15.75" customHeight="1">
      <c r="B71" s="59"/>
      <c r="C71" s="60"/>
    </row>
    <row r="72" spans="2:3" ht="15">
      <c r="B72" s="59"/>
      <c r="C72" s="60"/>
    </row>
    <row r="73" spans="2:3" ht="15">
      <c r="B73" s="59"/>
      <c r="C73" s="60"/>
    </row>
    <row r="74" spans="2:3" ht="29.25" customHeight="1">
      <c r="B74" s="516"/>
      <c r="C74" s="516"/>
    </row>
    <row r="76" spans="2:3" ht="15.75">
      <c r="B76" s="514"/>
      <c r="C76" s="514"/>
    </row>
    <row r="77" spans="2:3" ht="15.75">
      <c r="B77" s="514"/>
      <c r="C77" s="514"/>
    </row>
    <row r="78" spans="2:3" ht="15.75">
      <c r="B78" s="514"/>
      <c r="C78" s="514"/>
    </row>
    <row r="79" spans="2:3" ht="15.75">
      <c r="B79" s="514"/>
      <c r="C79" s="514"/>
    </row>
    <row r="80" spans="2:3" ht="15.75">
      <c r="B80" s="63"/>
      <c r="C80" s="63"/>
    </row>
    <row r="81" spans="2:3" ht="15.75">
      <c r="B81" s="62"/>
      <c r="C81" s="517"/>
    </row>
    <row r="82" spans="2:3" ht="15.75">
      <c r="B82" s="62"/>
      <c r="C82" s="517"/>
    </row>
    <row r="83" spans="2:3" ht="15.75">
      <c r="B83" s="62"/>
      <c r="C83" s="517"/>
    </row>
    <row r="84" spans="2:3" ht="15">
      <c r="B84" s="6"/>
      <c r="C84" s="6"/>
    </row>
    <row r="85" spans="2:3" ht="15">
      <c r="B85" s="51"/>
      <c r="C85" s="49"/>
    </row>
    <row r="86" spans="2:3" ht="15">
      <c r="B86" s="6"/>
      <c r="C86" s="49"/>
    </row>
    <row r="87" spans="2:3" ht="15">
      <c r="B87" s="6"/>
      <c r="C87" s="49"/>
    </row>
    <row r="88" spans="2:3" ht="15">
      <c r="B88" s="6"/>
      <c r="C88" s="49"/>
    </row>
    <row r="89" spans="2:3" ht="15">
      <c r="B89" s="6"/>
      <c r="C89" s="49"/>
    </row>
    <row r="90" spans="2:3" ht="15">
      <c r="B90" s="6"/>
      <c r="C90" s="49"/>
    </row>
    <row r="91" spans="2:3" ht="15">
      <c r="B91" s="6"/>
      <c r="C91" s="49"/>
    </row>
    <row r="92" spans="2:3" ht="15">
      <c r="B92" s="6"/>
      <c r="C92" s="49"/>
    </row>
    <row r="93" spans="2:3" ht="15">
      <c r="B93" s="6"/>
      <c r="C93" s="49"/>
    </row>
    <row r="94" spans="2:3" ht="15">
      <c r="B94" s="6"/>
      <c r="C94" s="49"/>
    </row>
    <row r="95" spans="2:3" ht="15">
      <c r="B95" s="51"/>
      <c r="C95" s="49"/>
    </row>
    <row r="96" spans="2:3" ht="15">
      <c r="B96" s="6"/>
      <c r="C96" s="49"/>
    </row>
    <row r="97" spans="2:3" ht="15">
      <c r="B97" s="6"/>
      <c r="C97" s="49"/>
    </row>
    <row r="98" spans="2:3" ht="15">
      <c r="B98" s="6"/>
      <c r="C98" s="49"/>
    </row>
    <row r="99" spans="2:3" ht="15">
      <c r="B99" s="6"/>
      <c r="C99" s="49"/>
    </row>
    <row r="100" spans="2:3" ht="15">
      <c r="B100" s="6"/>
      <c r="C100" s="49"/>
    </row>
    <row r="101" spans="2:3" ht="15">
      <c r="B101" s="6"/>
      <c r="C101" s="50"/>
    </row>
    <row r="102" spans="2:3" ht="15">
      <c r="B102" s="6"/>
      <c r="C102" s="49"/>
    </row>
    <row r="103" spans="2:3" ht="15">
      <c r="B103" s="6"/>
      <c r="C103" s="49"/>
    </row>
    <row r="104" spans="2:3" ht="15.75">
      <c r="B104" s="6"/>
      <c r="C104" s="64"/>
    </row>
    <row r="105" spans="2:3" ht="15">
      <c r="B105" s="51"/>
      <c r="C105" s="49"/>
    </row>
    <row r="106" spans="2:3" ht="15">
      <c r="B106" s="6"/>
      <c r="C106" s="49"/>
    </row>
    <row r="107" spans="2:3" ht="15">
      <c r="B107" s="6"/>
      <c r="C107" s="49"/>
    </row>
    <row r="108" spans="2:3" ht="15">
      <c r="B108" s="6"/>
      <c r="C108" s="49"/>
    </row>
    <row r="109" spans="2:3" ht="15">
      <c r="B109" s="6"/>
      <c r="C109" s="49"/>
    </row>
    <row r="110" spans="2:3" ht="15">
      <c r="B110" s="6"/>
      <c r="C110" s="49"/>
    </row>
    <row r="111" spans="2:3" ht="15">
      <c r="B111" s="6"/>
      <c r="C111" s="49"/>
    </row>
    <row r="112" spans="2:3" ht="15">
      <c r="B112" s="6"/>
      <c r="C112" s="49"/>
    </row>
    <row r="113" spans="2:3" ht="30" customHeight="1">
      <c r="B113" s="516"/>
      <c r="C113" s="516"/>
    </row>
    <row r="116" spans="2:3" ht="15.75">
      <c r="B116" s="514"/>
      <c r="C116" s="514"/>
    </row>
    <row r="117" spans="2:3" ht="15.75">
      <c r="B117" s="514"/>
      <c r="C117" s="514"/>
    </row>
    <row r="118" spans="2:3" ht="15.75">
      <c r="B118" s="514"/>
      <c r="C118" s="514"/>
    </row>
    <row r="119" spans="2:3" ht="15.75">
      <c r="B119" s="514"/>
      <c r="C119" s="514"/>
    </row>
    <row r="120" spans="2:3" ht="15.75">
      <c r="B120" s="63"/>
      <c r="C120" s="63"/>
    </row>
    <row r="121" spans="2:3" ht="15.75">
      <c r="B121" s="62"/>
      <c r="C121" s="517"/>
    </row>
    <row r="122" spans="2:3" ht="15.75">
      <c r="B122" s="62"/>
      <c r="C122" s="517"/>
    </row>
    <row r="123" spans="2:3" ht="15.75">
      <c r="B123" s="62"/>
      <c r="C123" s="517"/>
    </row>
    <row r="124" spans="2:3" ht="15">
      <c r="B124" s="6"/>
      <c r="C124" s="6"/>
    </row>
    <row r="125" spans="2:3" ht="15">
      <c r="B125" s="51"/>
      <c r="C125" s="49"/>
    </row>
    <row r="126" spans="2:3" ht="15">
      <c r="B126" s="6"/>
      <c r="C126" s="49"/>
    </row>
    <row r="127" spans="2:3" ht="15">
      <c r="B127" s="6"/>
      <c r="C127" s="49"/>
    </row>
    <row r="128" spans="2:3" ht="15">
      <c r="B128" s="6"/>
      <c r="C128" s="49"/>
    </row>
    <row r="129" spans="2:3" ht="15">
      <c r="B129" s="6"/>
      <c r="C129" s="49"/>
    </row>
    <row r="130" spans="2:3" ht="15">
      <c r="B130" s="6"/>
      <c r="C130" s="49"/>
    </row>
    <row r="131" spans="2:3" ht="15">
      <c r="B131" s="6"/>
      <c r="C131" s="49"/>
    </row>
    <row r="132" spans="2:3" ht="15">
      <c r="B132" s="6"/>
      <c r="C132" s="49"/>
    </row>
    <row r="133" spans="2:3" ht="15">
      <c r="B133" s="6"/>
      <c r="C133" s="49"/>
    </row>
    <row r="134" spans="2:3" ht="15">
      <c r="B134" s="6"/>
      <c r="C134" s="49"/>
    </row>
    <row r="135" spans="2:3" ht="15">
      <c r="B135" s="51"/>
      <c r="C135" s="49"/>
    </row>
    <row r="136" spans="2:3" ht="15">
      <c r="B136" s="6"/>
      <c r="C136" s="49"/>
    </row>
    <row r="137" spans="2:3" ht="15">
      <c r="B137" s="6"/>
      <c r="C137" s="49"/>
    </row>
    <row r="138" spans="2:3" ht="15">
      <c r="B138" s="6"/>
      <c r="C138" s="49"/>
    </row>
    <row r="139" spans="2:3" ht="15">
      <c r="B139" s="6"/>
      <c r="C139" s="49"/>
    </row>
    <row r="140" spans="2:3" ht="15">
      <c r="B140" s="6"/>
      <c r="C140" s="49"/>
    </row>
    <row r="141" spans="2:3" ht="15">
      <c r="B141" s="6"/>
      <c r="C141" s="50"/>
    </row>
    <row r="142" spans="2:3" ht="15">
      <c r="B142" s="6"/>
      <c r="C142" s="49"/>
    </row>
    <row r="143" spans="2:3" ht="15">
      <c r="B143" s="6"/>
      <c r="C143" s="49"/>
    </row>
    <row r="144" spans="2:3" ht="15">
      <c r="B144" s="6"/>
      <c r="C144" s="49"/>
    </row>
    <row r="145" spans="2:3" ht="15">
      <c r="B145" s="51"/>
      <c r="C145" s="49"/>
    </row>
    <row r="146" spans="2:3" ht="15">
      <c r="B146" s="6"/>
      <c r="C146" s="49"/>
    </row>
    <row r="147" spans="2:3" ht="15">
      <c r="B147" s="6"/>
      <c r="C147" s="49"/>
    </row>
    <row r="148" spans="2:3" ht="15">
      <c r="B148" s="6"/>
      <c r="C148" s="49"/>
    </row>
    <row r="149" spans="2:3" ht="15">
      <c r="B149" s="6"/>
      <c r="C149" s="49"/>
    </row>
    <row r="150" spans="2:3" ht="15">
      <c r="B150" s="6"/>
      <c r="C150" s="49"/>
    </row>
    <row r="151" spans="2:3" ht="15">
      <c r="B151" s="6"/>
      <c r="C151" s="50"/>
    </row>
    <row r="152" spans="2:3" ht="15">
      <c r="B152" s="6"/>
      <c r="C152" s="49"/>
    </row>
    <row r="153" spans="2:3" ht="17.25" customHeight="1">
      <c r="B153" s="518"/>
      <c r="C153" s="518"/>
    </row>
  </sheetData>
  <mergeCells count="23">
    <mergeCell ref="B117:C117"/>
    <mergeCell ref="B118:C118"/>
    <mergeCell ref="B119:C119"/>
    <mergeCell ref="C121:C123"/>
    <mergeCell ref="B153:C153"/>
    <mergeCell ref="B36:C36"/>
    <mergeCell ref="B116:C116"/>
    <mergeCell ref="B38:C38"/>
    <mergeCell ref="B39:C39"/>
    <mergeCell ref="B40:C40"/>
    <mergeCell ref="B41:C41"/>
    <mergeCell ref="B74:C74"/>
    <mergeCell ref="B76:C76"/>
    <mergeCell ref="B77:C77"/>
    <mergeCell ref="B78:C78"/>
    <mergeCell ref="B79:C79"/>
    <mergeCell ref="C81:C83"/>
    <mergeCell ref="B113:C113"/>
    <mergeCell ref="B2:E2"/>
    <mergeCell ref="B3:E3"/>
    <mergeCell ref="B4:B5"/>
    <mergeCell ref="C4:E4"/>
    <mergeCell ref="B20:E20"/>
  </mergeCells>
  <hyperlinks>
    <hyperlink ref="B3:E3" location="'Capitulo 3'!B24" display="Número de viviendas por estado físico, según región y zona. 2018." xr:uid="{00000000-0004-0000-13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O64"/>
  <sheetViews>
    <sheetView showGridLines="0" zoomScaleNormal="100" workbookViewId="0">
      <pane ySplit="5" topLeftCell="A6" activePane="bottomLeft" state="frozen"/>
      <selection pane="bottomLeft" activeCell="L16" sqref="L16"/>
    </sheetView>
  </sheetViews>
  <sheetFormatPr baseColWidth="10" defaultColWidth="11.42578125" defaultRowHeight="12.75"/>
  <cols>
    <col min="1" max="1" width="11.42578125" customWidth="1"/>
    <col min="2" max="2" width="48.28515625" style="3" bestFit="1" customWidth="1"/>
    <col min="3" max="3" width="19.42578125" style="3" customWidth="1"/>
    <col min="4" max="4" width="18.7109375" style="3" customWidth="1"/>
    <col min="5" max="5" width="19" style="3" customWidth="1"/>
    <col min="6" max="6" width="17.28515625" style="3" customWidth="1"/>
    <col min="7" max="7" width="18" style="3" customWidth="1"/>
    <col min="8" max="8" width="18.85546875" style="3" customWidth="1"/>
    <col min="9" max="9" width="21.7109375" style="3" bestFit="1" customWidth="1"/>
    <col min="10" max="11" width="17.42578125" style="3" bestFit="1" customWidth="1"/>
    <col min="12" max="12" width="27.7109375" style="3" bestFit="1" customWidth="1"/>
    <col min="13" max="13" width="14.7109375" style="3" bestFit="1" customWidth="1"/>
    <col min="14" max="14" width="12.42578125" bestFit="1" customWidth="1"/>
    <col min="15" max="15" width="17.140625" bestFit="1" customWidth="1"/>
    <col min="16" max="16" width="21.7109375" bestFit="1" customWidth="1"/>
    <col min="17" max="17" width="17.42578125" bestFit="1" customWidth="1"/>
    <col min="18" max="18" width="14.5703125" bestFit="1" customWidth="1"/>
    <col min="19" max="20" width="16.85546875" bestFit="1" customWidth="1"/>
    <col min="21" max="21" width="11.42578125" customWidth="1"/>
    <col min="22" max="22" width="21.7109375" bestFit="1" customWidth="1"/>
    <col min="23" max="23" width="17.42578125" bestFit="1" customWidth="1"/>
    <col min="24" max="24" width="14.5703125" bestFit="1" customWidth="1"/>
    <col min="25" max="25" width="16.85546875" bestFit="1" customWidth="1"/>
  </cols>
  <sheetData>
    <row r="2" spans="2:15" ht="15">
      <c r="B2" s="462" t="s">
        <v>295</v>
      </c>
      <c r="C2" s="462"/>
      <c r="D2" s="462"/>
      <c r="E2" s="462"/>
      <c r="F2" s="462"/>
      <c r="G2" s="462"/>
      <c r="H2" s="462"/>
      <c r="I2" s="462"/>
      <c r="J2" s="462"/>
      <c r="K2" s="462"/>
    </row>
    <row r="3" spans="2:15" ht="16.5" customHeight="1" thickBot="1">
      <c r="B3" s="464" t="s">
        <v>653</v>
      </c>
      <c r="C3" s="464"/>
      <c r="D3" s="464"/>
      <c r="E3" s="464"/>
      <c r="F3" s="464"/>
      <c r="G3" s="464"/>
      <c r="H3" s="464"/>
      <c r="I3" s="464"/>
      <c r="J3" s="464"/>
      <c r="K3" s="464"/>
    </row>
    <row r="4" spans="2:15" ht="15.75" customHeight="1" thickTop="1" thickBot="1">
      <c r="B4" s="494" t="s">
        <v>140</v>
      </c>
      <c r="C4" s="494" t="s">
        <v>103</v>
      </c>
      <c r="D4" s="459" t="s">
        <v>115</v>
      </c>
      <c r="E4" s="460"/>
      <c r="F4" s="460"/>
      <c r="G4" s="460"/>
      <c r="H4" s="460"/>
      <c r="I4" s="461"/>
      <c r="J4" s="519" t="s">
        <v>607</v>
      </c>
      <c r="K4" s="520"/>
    </row>
    <row r="5" spans="2:15" ht="14.25" thickTop="1" thickBot="1">
      <c r="B5" s="503"/>
      <c r="C5" s="503"/>
      <c r="D5" s="315" t="s">
        <v>116</v>
      </c>
      <c r="E5" s="315" t="s">
        <v>117</v>
      </c>
      <c r="F5" s="315" t="s">
        <v>118</v>
      </c>
      <c r="G5" s="315" t="s">
        <v>119</v>
      </c>
      <c r="H5" s="315" t="s">
        <v>275</v>
      </c>
      <c r="I5" s="315" t="s">
        <v>120</v>
      </c>
      <c r="J5" s="315" t="s">
        <v>608</v>
      </c>
      <c r="K5" s="315" t="s">
        <v>609</v>
      </c>
    </row>
    <row r="6" spans="2:15" ht="14.25" thickTop="1" thickBot="1">
      <c r="B6" s="272" t="s">
        <v>141</v>
      </c>
      <c r="C6" s="413">
        <v>133669</v>
      </c>
      <c r="D6" s="413">
        <v>55173</v>
      </c>
      <c r="E6" s="413">
        <v>10448</v>
      </c>
      <c r="F6" s="413">
        <v>12960</v>
      </c>
      <c r="G6" s="413">
        <v>15684</v>
      </c>
      <c r="H6" s="413">
        <v>24377</v>
      </c>
      <c r="I6" s="413">
        <v>15027</v>
      </c>
      <c r="J6" s="413">
        <v>81714</v>
      </c>
      <c r="K6" s="413">
        <v>51955</v>
      </c>
    </row>
    <row r="7" spans="2:15" ht="14.25" thickTop="1" thickBot="1">
      <c r="B7" s="272" t="s">
        <v>142</v>
      </c>
      <c r="C7" s="413">
        <v>33780</v>
      </c>
      <c r="D7" s="413">
        <v>14614</v>
      </c>
      <c r="E7" s="413">
        <v>3760</v>
      </c>
      <c r="F7" s="413">
        <v>4226</v>
      </c>
      <c r="G7" s="413">
        <v>1654</v>
      </c>
      <c r="H7" s="413">
        <v>4595</v>
      </c>
      <c r="I7" s="413">
        <v>4931</v>
      </c>
      <c r="J7" s="413">
        <v>21189</v>
      </c>
      <c r="K7" s="413">
        <v>12591</v>
      </c>
    </row>
    <row r="8" spans="2:15" ht="14.25" thickTop="1" thickBot="1">
      <c r="B8" s="272" t="s">
        <v>143</v>
      </c>
      <c r="C8" s="413">
        <v>508409</v>
      </c>
      <c r="D8" s="413">
        <v>264759</v>
      </c>
      <c r="E8" s="413">
        <v>50210</v>
      </c>
      <c r="F8" s="413">
        <v>36430</v>
      </c>
      <c r="G8" s="413">
        <v>55054</v>
      </c>
      <c r="H8" s="413">
        <v>56088</v>
      </c>
      <c r="I8" s="413">
        <v>45868</v>
      </c>
      <c r="J8" s="413">
        <v>324043</v>
      </c>
      <c r="K8" s="413">
        <v>184366</v>
      </c>
    </row>
    <row r="9" spans="2:15" ht="14.25" thickTop="1" thickBot="1">
      <c r="B9" s="272" t="s">
        <v>144</v>
      </c>
      <c r="C9" s="413">
        <v>864171</v>
      </c>
      <c r="D9" s="413">
        <v>614914</v>
      </c>
      <c r="E9" s="413">
        <v>53800</v>
      </c>
      <c r="F9" s="413">
        <v>38654</v>
      </c>
      <c r="G9" s="413">
        <v>51056</v>
      </c>
      <c r="H9" s="413">
        <v>52406</v>
      </c>
      <c r="I9" s="413">
        <v>53341</v>
      </c>
      <c r="J9" s="413">
        <v>686376</v>
      </c>
      <c r="K9" s="413">
        <v>177795</v>
      </c>
    </row>
    <row r="10" spans="2:15" ht="14.25" thickTop="1" thickBot="1">
      <c r="B10" s="272" t="s">
        <v>145</v>
      </c>
      <c r="C10" s="413">
        <v>1540029</v>
      </c>
      <c r="D10" s="413">
        <v>949460</v>
      </c>
      <c r="E10" s="413">
        <v>118218</v>
      </c>
      <c r="F10" s="413">
        <v>92270</v>
      </c>
      <c r="G10" s="413">
        <v>123448</v>
      </c>
      <c r="H10" s="413">
        <v>137466</v>
      </c>
      <c r="I10" s="413">
        <v>119167</v>
      </c>
      <c r="J10" s="413">
        <v>1113322</v>
      </c>
      <c r="K10" s="413">
        <v>426707</v>
      </c>
    </row>
    <row r="11" spans="2:15" ht="15" thickTop="1">
      <c r="B11" s="298"/>
      <c r="C11" s="299"/>
      <c r="D11" s="299"/>
      <c r="E11" s="300"/>
      <c r="F11" s="237"/>
      <c r="G11" s="237"/>
      <c r="H11" s="237"/>
      <c r="I11" s="237"/>
      <c r="J11" s="237"/>
      <c r="K11" s="237"/>
    </row>
    <row r="12" spans="2:15" ht="13.5" thickBot="1">
      <c r="B12" s="473" t="s">
        <v>513</v>
      </c>
      <c r="C12" s="474"/>
      <c r="D12" s="474"/>
      <c r="E12" s="474"/>
      <c r="F12" s="474"/>
      <c r="G12" s="474"/>
      <c r="H12" s="474"/>
      <c r="I12" s="474"/>
      <c r="J12" s="474"/>
      <c r="K12" s="474"/>
    </row>
    <row r="13" spans="2:15" ht="15.75" thickTop="1" thickBot="1">
      <c r="C13" s="205"/>
      <c r="D13" s="65"/>
      <c r="E13" s="65"/>
      <c r="F13" s="65"/>
      <c r="G13" s="65"/>
      <c r="H13" s="65"/>
      <c r="I13" s="65"/>
    </row>
    <row r="14" spans="2:15" ht="15.75" thickTop="1" thickBot="1">
      <c r="C14" s="205"/>
      <c r="E14" s="66"/>
      <c r="F14" s="17"/>
      <c r="G14" s="17"/>
      <c r="H14" s="17"/>
      <c r="I14" s="17"/>
      <c r="J14" s="17"/>
      <c r="K14" s="17"/>
      <c r="L14" s="17"/>
    </row>
    <row r="15" spans="2:15" ht="15.75" thickTop="1" thickBot="1">
      <c r="C15" s="205"/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2:15" ht="15.75" thickTop="1" thickBot="1">
      <c r="C16" s="205"/>
      <c r="F16" s="17"/>
      <c r="G16" s="17"/>
      <c r="H16" s="17"/>
      <c r="I16" s="17"/>
      <c r="J16" s="17"/>
      <c r="L16" s="17"/>
    </row>
    <row r="17" spans="3:13" ht="15.75" thickTop="1" thickBot="1">
      <c r="C17" s="205"/>
      <c r="F17" s="17"/>
      <c r="G17" s="17"/>
      <c r="H17" s="17"/>
      <c r="I17" s="17"/>
      <c r="J17" s="17"/>
      <c r="L17" s="17"/>
    </row>
    <row r="18" spans="3:13" ht="13.5" thickTop="1">
      <c r="F18" s="17"/>
      <c r="G18" s="17"/>
      <c r="H18" s="17"/>
      <c r="I18" s="17"/>
      <c r="J18" s="17"/>
      <c r="L18" s="17"/>
    </row>
    <row r="19" spans="3:13">
      <c r="E19" s="65"/>
      <c r="F19" s="17"/>
      <c r="G19" s="17"/>
      <c r="H19" s="17"/>
      <c r="I19" s="17"/>
      <c r="J19" s="17"/>
      <c r="L19" s="17"/>
    </row>
    <row r="20" spans="3:13">
      <c r="E20" s="65"/>
      <c r="F20" s="17"/>
      <c r="G20" s="67"/>
      <c r="H20" s="67"/>
      <c r="I20" s="67"/>
      <c r="J20" s="67"/>
      <c r="L20" s="67"/>
      <c r="M20" s="67"/>
    </row>
    <row r="21" spans="3:13">
      <c r="E21" s="65"/>
      <c r="F21" s="17"/>
      <c r="G21" s="67"/>
      <c r="H21" s="67"/>
      <c r="I21" s="67"/>
      <c r="J21" s="67"/>
      <c r="K21" s="17"/>
      <c r="L21" s="67"/>
    </row>
    <row r="22" spans="3:13">
      <c r="E22" s="65"/>
      <c r="F22" s="67"/>
      <c r="K22" s="17"/>
    </row>
    <row r="23" spans="3:13">
      <c r="E23" s="65"/>
      <c r="F23" s="65"/>
      <c r="K23" s="17"/>
    </row>
    <row r="24" spans="3:13">
      <c r="E24" s="65"/>
      <c r="K24" s="17"/>
    </row>
    <row r="63" spans="3:4">
      <c r="C63" s="47"/>
      <c r="D63" s="47"/>
    </row>
    <row r="64" spans="3:4">
      <c r="D64" s="47"/>
    </row>
  </sheetData>
  <mergeCells count="7">
    <mergeCell ref="B12:K12"/>
    <mergeCell ref="B4:B5"/>
    <mergeCell ref="C4:C5"/>
    <mergeCell ref="D4:I4"/>
    <mergeCell ref="B2:K2"/>
    <mergeCell ref="J4:K4"/>
    <mergeCell ref="B3:K3"/>
  </mergeCells>
  <hyperlinks>
    <hyperlink ref="B3:K3" location="'Capitulo 3'!B25" display="Total de viviendas por región y zona, según calificación de la vivienda. 2018." xr:uid="{00000000-0004-0000-14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1:J31"/>
  <sheetViews>
    <sheetView showGridLines="0" zoomScaleNormal="100" workbookViewId="0">
      <pane ySplit="5" topLeftCell="A6" activePane="bottomLeft" state="frozen"/>
      <selection pane="bottomLeft" activeCell="N16" sqref="N16"/>
    </sheetView>
  </sheetViews>
  <sheetFormatPr baseColWidth="10" defaultColWidth="11" defaultRowHeight="12.75"/>
  <cols>
    <col min="1" max="1" width="11" style="3"/>
    <col min="2" max="2" width="68.28515625" style="3" customWidth="1"/>
    <col min="3" max="3" width="13.42578125" style="3" bestFit="1" customWidth="1"/>
    <col min="4" max="4" width="12.85546875" style="3" bestFit="1" customWidth="1"/>
    <col min="5" max="6" width="13.28515625" style="3" customWidth="1"/>
    <col min="7" max="7" width="11" style="3"/>
    <col min="8" max="8" width="13.42578125" style="3" customWidth="1"/>
    <col min="9" max="16384" width="11" style="3"/>
  </cols>
  <sheetData>
    <row r="1" spans="2:10" ht="15">
      <c r="B1" s="522"/>
      <c r="C1" s="522"/>
      <c r="D1" s="522"/>
      <c r="E1" s="523"/>
    </row>
    <row r="2" spans="2:10" ht="15">
      <c r="B2" s="462" t="s">
        <v>296</v>
      </c>
      <c r="C2" s="462"/>
      <c r="D2" s="462"/>
      <c r="E2" s="462"/>
      <c r="F2" s="462"/>
      <c r="G2" s="462"/>
      <c r="H2" s="462"/>
      <c r="I2" s="462"/>
    </row>
    <row r="3" spans="2:10" ht="26.25" customHeight="1" thickBot="1">
      <c r="B3" s="464" t="s">
        <v>514</v>
      </c>
      <c r="C3" s="464"/>
      <c r="D3" s="464"/>
      <c r="E3" s="464"/>
      <c r="F3" s="464"/>
      <c r="G3" s="464"/>
      <c r="H3" s="464"/>
      <c r="I3" s="464"/>
    </row>
    <row r="4" spans="2:10" ht="14.25" thickTop="1" thickBot="1">
      <c r="B4" s="471" t="s">
        <v>130</v>
      </c>
      <c r="C4" s="459" t="s">
        <v>115</v>
      </c>
      <c r="D4" s="460"/>
      <c r="E4" s="460"/>
      <c r="F4" s="460"/>
      <c r="G4" s="460"/>
      <c r="H4" s="460"/>
      <c r="I4" s="461"/>
    </row>
    <row r="5" spans="2:10" ht="32.25" customHeight="1" thickTop="1" thickBot="1">
      <c r="B5" s="471"/>
      <c r="C5" s="314" t="s">
        <v>114</v>
      </c>
      <c r="D5" s="314" t="s">
        <v>139</v>
      </c>
      <c r="E5" s="314" t="s">
        <v>117</v>
      </c>
      <c r="F5" s="314" t="s">
        <v>118</v>
      </c>
      <c r="G5" s="314" t="s">
        <v>119</v>
      </c>
      <c r="H5" s="314" t="s">
        <v>275</v>
      </c>
      <c r="I5" s="314" t="s">
        <v>120</v>
      </c>
    </row>
    <row r="6" spans="2:10" ht="14.25" thickTop="1" thickBot="1">
      <c r="B6" s="272" t="s">
        <v>146</v>
      </c>
      <c r="C6" s="413">
        <v>1540029</v>
      </c>
      <c r="D6" s="413">
        <v>949460</v>
      </c>
      <c r="E6" s="413">
        <v>118218</v>
      </c>
      <c r="F6" s="413">
        <v>92270</v>
      </c>
      <c r="G6" s="413">
        <v>123448</v>
      </c>
      <c r="H6" s="413">
        <v>137466</v>
      </c>
      <c r="I6" s="413">
        <v>119167</v>
      </c>
      <c r="J6" s="183"/>
    </row>
    <row r="7" spans="2:10" ht="14.25" thickTop="1" thickBot="1">
      <c r="B7" s="272" t="s">
        <v>147</v>
      </c>
      <c r="C7" s="413">
        <v>18059</v>
      </c>
      <c r="D7" s="413">
        <v>5699</v>
      </c>
      <c r="E7" s="413">
        <v>1948</v>
      </c>
      <c r="F7" s="413">
        <v>1845</v>
      </c>
      <c r="G7" s="413">
        <v>1876</v>
      </c>
      <c r="H7" s="413">
        <v>3181</v>
      </c>
      <c r="I7" s="413">
        <v>3510</v>
      </c>
      <c r="J7" s="183"/>
    </row>
    <row r="8" spans="2:10" ht="16.5" thickTop="1" thickBot="1">
      <c r="B8" s="272" t="s">
        <v>1080</v>
      </c>
      <c r="C8" s="413">
        <v>38593</v>
      </c>
      <c r="D8" s="413">
        <v>16126</v>
      </c>
      <c r="E8" s="413">
        <v>4313</v>
      </c>
      <c r="F8" s="413">
        <v>4144</v>
      </c>
      <c r="G8" s="413">
        <v>2228</v>
      </c>
      <c r="H8" s="413">
        <v>5238</v>
      </c>
      <c r="I8" s="413">
        <v>6544</v>
      </c>
      <c r="J8" s="183"/>
    </row>
    <row r="9" spans="2:10" ht="14.25" thickTop="1" thickBot="1">
      <c r="B9" s="272" t="s">
        <v>148</v>
      </c>
      <c r="C9" s="413"/>
      <c r="D9" s="413"/>
      <c r="E9" s="413"/>
      <c r="F9" s="413"/>
      <c r="G9" s="413"/>
      <c r="H9" s="413"/>
      <c r="I9" s="413"/>
      <c r="J9" s="183"/>
    </row>
    <row r="10" spans="2:10" ht="14.25" thickTop="1" thickBot="1">
      <c r="B10" s="272" t="s">
        <v>149</v>
      </c>
      <c r="C10" s="413">
        <v>15849</v>
      </c>
      <c r="D10" s="413">
        <v>6235</v>
      </c>
      <c r="E10" s="413">
        <v>1597</v>
      </c>
      <c r="F10" s="413">
        <v>913</v>
      </c>
      <c r="G10" s="413">
        <v>1190</v>
      </c>
      <c r="H10" s="413">
        <v>3704</v>
      </c>
      <c r="I10" s="413">
        <v>2210</v>
      </c>
      <c r="J10" s="183"/>
    </row>
    <row r="11" spans="2:10" ht="14.25" thickTop="1" thickBot="1">
      <c r="B11" s="272" t="s">
        <v>150</v>
      </c>
      <c r="C11" s="413">
        <v>90106</v>
      </c>
      <c r="D11" s="413">
        <v>25865</v>
      </c>
      <c r="E11" s="413">
        <v>10092</v>
      </c>
      <c r="F11" s="413">
        <v>6111</v>
      </c>
      <c r="G11" s="413">
        <v>15894</v>
      </c>
      <c r="H11" s="413">
        <v>20256</v>
      </c>
      <c r="I11" s="413">
        <v>11888</v>
      </c>
      <c r="J11" s="183"/>
    </row>
    <row r="12" spans="2:10" ht="14.25" thickTop="1" thickBot="1">
      <c r="B12" s="274" t="s">
        <v>151</v>
      </c>
      <c r="C12" s="413">
        <v>1434074</v>
      </c>
      <c r="D12" s="413">
        <v>917360</v>
      </c>
      <c r="E12" s="413">
        <v>106529</v>
      </c>
      <c r="F12" s="413">
        <v>85246</v>
      </c>
      <c r="G12" s="413">
        <v>106364</v>
      </c>
      <c r="H12" s="413">
        <v>113506</v>
      </c>
      <c r="I12" s="413">
        <v>105069</v>
      </c>
      <c r="J12" s="183"/>
    </row>
    <row r="13" spans="2:10" ht="15.75" thickTop="1" thickBot="1">
      <c r="B13" s="273"/>
      <c r="C13" s="301"/>
      <c r="D13" s="301"/>
      <c r="E13" s="301"/>
      <c r="F13" s="301"/>
      <c r="G13" s="301"/>
      <c r="H13" s="301"/>
      <c r="I13" s="301"/>
    </row>
    <row r="14" spans="2:10" ht="15.75" customHeight="1" thickTop="1" thickBot="1">
      <c r="B14" s="469" t="s">
        <v>513</v>
      </c>
      <c r="C14" s="470"/>
      <c r="D14" s="470"/>
      <c r="E14" s="470"/>
      <c r="F14" s="470"/>
      <c r="G14" s="470"/>
      <c r="H14" s="483"/>
      <c r="I14" s="292"/>
    </row>
    <row r="15" spans="2:10" ht="15" thickTop="1" thickBot="1">
      <c r="B15" s="521" t="s">
        <v>1079</v>
      </c>
      <c r="C15" s="479"/>
      <c r="D15" s="479"/>
      <c r="E15" s="479"/>
      <c r="F15" s="479"/>
      <c r="G15" s="479"/>
      <c r="H15" s="479"/>
      <c r="I15" s="479"/>
    </row>
    <row r="16" spans="2:10" ht="15" thickTop="1">
      <c r="B16" s="15"/>
      <c r="C16" s="32"/>
      <c r="D16" s="32"/>
      <c r="E16" s="32"/>
      <c r="F16" s="32"/>
      <c r="G16" s="32"/>
      <c r="H16" s="32"/>
      <c r="I16" s="32"/>
    </row>
    <row r="17" spans="2:10" ht="15">
      <c r="B17" s="70" t="s">
        <v>152</v>
      </c>
      <c r="C17" s="32"/>
      <c r="D17" s="32"/>
      <c r="E17" s="32"/>
      <c r="F17" s="32"/>
      <c r="G17" s="32"/>
      <c r="H17" s="32"/>
      <c r="I17" s="32"/>
      <c r="J17" s="32"/>
    </row>
    <row r="18" spans="2:10" ht="15">
      <c r="B18" s="71"/>
      <c r="C18" s="170"/>
      <c r="D18" s="70"/>
      <c r="E18" s="15"/>
    </row>
    <row r="19" spans="2:10" ht="14.25">
      <c r="B19" s="71"/>
      <c r="C19" s="71"/>
      <c r="D19" s="185"/>
      <c r="E19" s="15"/>
    </row>
    <row r="20" spans="2:10" ht="14.25">
      <c r="B20" s="71"/>
      <c r="C20" s="71"/>
      <c r="D20" s="185"/>
      <c r="E20" s="15"/>
    </row>
    <row r="21" spans="2:10" ht="14.25">
      <c r="C21" s="72"/>
      <c r="D21" s="185"/>
    </row>
    <row r="22" spans="2:10" ht="14.25">
      <c r="D22" s="185"/>
    </row>
    <row r="23" spans="2:10" ht="14.25">
      <c r="D23" s="185"/>
    </row>
    <row r="24" spans="2:10" ht="14.25">
      <c r="D24" s="185"/>
    </row>
    <row r="25" spans="2:10" ht="14.25">
      <c r="D25" s="185"/>
    </row>
    <row r="26" spans="2:10" ht="14.25">
      <c r="D26" s="185"/>
    </row>
    <row r="27" spans="2:10" ht="14.25">
      <c r="D27" s="185"/>
    </row>
    <row r="28" spans="2:10" ht="14.25">
      <c r="D28" s="185"/>
    </row>
    <row r="29" spans="2:10" ht="14.25">
      <c r="D29" s="185"/>
    </row>
    <row r="30" spans="2:10" ht="14.25">
      <c r="D30" s="185"/>
    </row>
    <row r="31" spans="2:10" ht="14.25">
      <c r="D31" s="185"/>
    </row>
  </sheetData>
  <mergeCells count="7">
    <mergeCell ref="B14:H14"/>
    <mergeCell ref="B15:I15"/>
    <mergeCell ref="B1:E1"/>
    <mergeCell ref="B4:B5"/>
    <mergeCell ref="C4:I4"/>
    <mergeCell ref="B2:I2"/>
    <mergeCell ref="B3:I3"/>
  </mergeCells>
  <hyperlinks>
    <hyperlink ref="B3:I3" location="'Capitulo 3'!B26" display="Características de las viviendas ocupadas por región. 2018." xr:uid="{00000000-0004-0000-15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J74"/>
  <sheetViews>
    <sheetView showGridLines="0" zoomScaleNormal="100" workbookViewId="0">
      <pane ySplit="5" topLeftCell="A6" activePane="bottomLeft" state="frozen"/>
      <selection pane="bottomLeft" activeCell="S19" sqref="S19"/>
    </sheetView>
  </sheetViews>
  <sheetFormatPr baseColWidth="10" defaultColWidth="11" defaultRowHeight="12.75"/>
  <cols>
    <col min="1" max="1" width="11" style="3"/>
    <col min="2" max="2" width="17.85546875" style="3" customWidth="1"/>
    <col min="3" max="3" width="21.140625" style="3" customWidth="1"/>
    <col min="4" max="4" width="23.7109375" style="3" customWidth="1"/>
    <col min="5" max="5" width="20.85546875" style="3" customWidth="1"/>
    <col min="6" max="6" width="17.5703125" style="3" customWidth="1"/>
    <col min="7" max="7" width="12.140625" style="3" bestFit="1" customWidth="1"/>
    <col min="8" max="8" width="18.140625" style="3" customWidth="1"/>
    <col min="9" max="9" width="11" style="3" customWidth="1"/>
    <col min="10" max="16384" width="11" style="3"/>
  </cols>
  <sheetData>
    <row r="2" spans="2:9" ht="18" customHeight="1">
      <c r="B2" s="462" t="s">
        <v>297</v>
      </c>
      <c r="C2" s="462"/>
      <c r="D2" s="462"/>
      <c r="E2" s="462"/>
      <c r="F2" s="462"/>
    </row>
    <row r="3" spans="2:9" ht="33.75" customHeight="1" thickBot="1">
      <c r="B3" s="464" t="s">
        <v>654</v>
      </c>
      <c r="C3" s="464"/>
      <c r="D3" s="464"/>
      <c r="E3" s="464"/>
      <c r="F3" s="464"/>
    </row>
    <row r="4" spans="2:9" ht="16.5" customHeight="1" thickTop="1" thickBot="1">
      <c r="B4" s="494" t="s">
        <v>651</v>
      </c>
      <c r="C4" s="494" t="s">
        <v>114</v>
      </c>
      <c r="D4" s="459" t="s">
        <v>346</v>
      </c>
      <c r="E4" s="460"/>
      <c r="F4" s="460"/>
    </row>
    <row r="5" spans="2:9" ht="56.25" customHeight="1" thickTop="1" thickBot="1">
      <c r="B5" s="510"/>
      <c r="C5" s="510"/>
      <c r="D5" s="317" t="s">
        <v>154</v>
      </c>
      <c r="E5" s="317" t="s">
        <v>155</v>
      </c>
      <c r="F5" s="317" t="s">
        <v>1129</v>
      </c>
    </row>
    <row r="6" spans="2:9" ht="14.25" thickTop="1" thickBot="1">
      <c r="B6" s="272" t="s">
        <v>103</v>
      </c>
      <c r="C6" s="252"/>
      <c r="D6" s="252"/>
      <c r="E6" s="252"/>
      <c r="F6" s="252"/>
    </row>
    <row r="7" spans="2:9" ht="14.25" thickTop="1" thickBot="1">
      <c r="B7" s="272"/>
      <c r="C7" s="252"/>
      <c r="D7" s="252"/>
      <c r="E7" s="252"/>
      <c r="F7" s="252"/>
    </row>
    <row r="8" spans="2:9" ht="14.25" thickTop="1" thickBot="1">
      <c r="B8" s="272" t="s">
        <v>121</v>
      </c>
      <c r="C8" s="413">
        <f>SUM(D8:F8)</f>
        <v>1540029</v>
      </c>
      <c r="D8" s="413">
        <v>884992</v>
      </c>
      <c r="E8" s="413">
        <f>298193+221759+70793</f>
        <v>590745</v>
      </c>
      <c r="F8" s="413">
        <f>29349+34139+804</f>
        <v>64292</v>
      </c>
      <c r="G8" s="47"/>
    </row>
    <row r="9" spans="2:9" ht="14.25" thickTop="1" thickBot="1">
      <c r="B9" s="272" t="s">
        <v>122</v>
      </c>
      <c r="C9" s="413">
        <f t="shared" ref="C9:C35" si="0">SUM(D9:F9)</f>
        <v>5003673</v>
      </c>
      <c r="D9" s="413">
        <v>2865938</v>
      </c>
      <c r="E9" s="413">
        <f>958521+735361+228406</f>
        <v>1922288</v>
      </c>
      <c r="F9" s="413">
        <f>98713+114608+2126</f>
        <v>215447</v>
      </c>
      <c r="G9" s="47"/>
    </row>
    <row r="10" spans="2:9" ht="14.25" thickTop="1" thickBot="1">
      <c r="B10" s="272"/>
      <c r="C10" s="413"/>
      <c r="D10" s="413"/>
      <c r="E10" s="413"/>
      <c r="F10" s="413"/>
      <c r="G10" s="47"/>
    </row>
    <row r="11" spans="2:9" ht="14.25" thickTop="1" thickBot="1">
      <c r="B11" s="272" t="s">
        <v>115</v>
      </c>
      <c r="C11" s="413"/>
      <c r="D11" s="413"/>
      <c r="E11" s="413"/>
      <c r="F11" s="413"/>
      <c r="G11" s="47"/>
    </row>
    <row r="12" spans="2:9" ht="14.25" thickTop="1" thickBot="1">
      <c r="B12" s="272"/>
      <c r="C12" s="413"/>
      <c r="D12" s="413"/>
      <c r="E12" s="413"/>
      <c r="F12" s="413"/>
      <c r="G12" s="47"/>
    </row>
    <row r="13" spans="2:9" ht="14.25" thickTop="1" thickBot="1">
      <c r="B13" s="272" t="s">
        <v>655</v>
      </c>
      <c r="C13" s="413"/>
      <c r="D13" s="413"/>
      <c r="E13" s="413"/>
      <c r="F13" s="413"/>
      <c r="G13" s="47"/>
    </row>
    <row r="14" spans="2:9" ht="14.25" thickTop="1" thickBot="1">
      <c r="B14" s="272" t="s">
        <v>656</v>
      </c>
      <c r="C14" s="413">
        <f t="shared" si="0"/>
        <v>949460</v>
      </c>
      <c r="D14" s="413">
        <v>553259</v>
      </c>
      <c r="E14" s="413">
        <f>124104+192770+65217</f>
        <v>382091</v>
      </c>
      <c r="F14" s="413">
        <f>3310+10670+130</f>
        <v>14110</v>
      </c>
      <c r="G14" s="47"/>
      <c r="H14" s="47"/>
      <c r="I14" s="47"/>
    </row>
    <row r="15" spans="2:9" ht="14.25" thickTop="1" thickBot="1">
      <c r="B15" s="272" t="s">
        <v>657</v>
      </c>
      <c r="C15" s="413">
        <f t="shared" si="0"/>
        <v>3102787</v>
      </c>
      <c r="D15" s="413">
        <v>1800257</v>
      </c>
      <c r="E15" s="413">
        <f>405429+637314+207874</f>
        <v>1250617</v>
      </c>
      <c r="F15" s="413">
        <f>12731+38142+1040</f>
        <v>51913</v>
      </c>
      <c r="G15" s="47"/>
      <c r="H15" s="47"/>
      <c r="I15" s="47"/>
    </row>
    <row r="16" spans="2:9" ht="14.25" thickTop="1" thickBot="1">
      <c r="B16" s="272"/>
      <c r="C16" s="413"/>
      <c r="D16" s="413"/>
      <c r="E16" s="413"/>
      <c r="F16" s="413"/>
      <c r="G16" s="47"/>
      <c r="H16" s="47"/>
      <c r="I16" s="47"/>
    </row>
    <row r="17" spans="1:10" ht="14.25" thickTop="1" thickBot="1">
      <c r="B17" s="272" t="s">
        <v>658</v>
      </c>
      <c r="C17" s="413"/>
      <c r="D17" s="413"/>
      <c r="E17" s="413"/>
      <c r="F17" s="413"/>
      <c r="G17" s="47"/>
      <c r="H17" s="110"/>
    </row>
    <row r="18" spans="1:10" ht="14.25" thickTop="1" thickBot="1">
      <c r="B18" s="272" t="s">
        <v>656</v>
      </c>
      <c r="C18" s="413">
        <f t="shared" si="0"/>
        <v>118218</v>
      </c>
      <c r="D18" s="413">
        <v>71359</v>
      </c>
      <c r="E18" s="413">
        <f>37474+3101+505</f>
        <v>41080</v>
      </c>
      <c r="F18" s="413">
        <f>2579+3200</f>
        <v>5779</v>
      </c>
      <c r="G18" s="47"/>
      <c r="H18" s="193"/>
      <c r="I18" s="183"/>
    </row>
    <row r="19" spans="1:10" ht="14.25" thickTop="1" thickBot="1">
      <c r="B19" s="272" t="s">
        <v>657</v>
      </c>
      <c r="C19" s="413">
        <f t="shared" si="0"/>
        <v>382913</v>
      </c>
      <c r="D19" s="413">
        <v>235465</v>
      </c>
      <c r="E19" s="413">
        <f>119099+9966+2121</f>
        <v>131186</v>
      </c>
      <c r="F19" s="413">
        <f>7518+8744</f>
        <v>16262</v>
      </c>
      <c r="G19" s="47"/>
      <c r="H19" s="193"/>
    </row>
    <row r="20" spans="1:10" ht="14.25" thickTop="1" thickBot="1">
      <c r="B20" s="272"/>
      <c r="C20" s="413"/>
      <c r="D20" s="413"/>
      <c r="E20" s="413"/>
      <c r="F20" s="413"/>
      <c r="G20" s="47"/>
      <c r="H20" s="403"/>
    </row>
    <row r="21" spans="1:10" ht="14.25" thickTop="1" thickBot="1">
      <c r="B21" s="272" t="s">
        <v>659</v>
      </c>
      <c r="C21" s="413"/>
      <c r="D21" s="413"/>
      <c r="E21" s="413"/>
      <c r="F21" s="413"/>
      <c r="G21" s="47"/>
      <c r="H21" s="110"/>
      <c r="J21" s="183"/>
    </row>
    <row r="22" spans="1:10" ht="14.25" thickTop="1" thickBot="1">
      <c r="B22" s="272" t="s">
        <v>656</v>
      </c>
      <c r="C22" s="413">
        <f t="shared" si="0"/>
        <v>92270</v>
      </c>
      <c r="D22" s="413">
        <v>56761</v>
      </c>
      <c r="E22" s="413">
        <f>21330+10273</f>
        <v>31603</v>
      </c>
      <c r="F22" s="413">
        <f>3222+684</f>
        <v>3906</v>
      </c>
      <c r="G22" s="47"/>
      <c r="H22" s="183"/>
      <c r="I22" s="183"/>
    </row>
    <row r="23" spans="1:10" ht="14.25" thickTop="1" thickBot="1">
      <c r="B23" s="272" t="s">
        <v>657</v>
      </c>
      <c r="C23" s="413">
        <f t="shared" si="0"/>
        <v>293808</v>
      </c>
      <c r="D23" s="413">
        <v>183027</v>
      </c>
      <c r="E23" s="413">
        <f>66175+33047</f>
        <v>99222</v>
      </c>
      <c r="F23" s="413">
        <f>9720+1839</f>
        <v>11559</v>
      </c>
      <c r="G23" s="47"/>
      <c r="H23" s="45"/>
    </row>
    <row r="24" spans="1:10" ht="14.25" thickTop="1" thickBot="1">
      <c r="B24" s="272"/>
      <c r="C24" s="413"/>
      <c r="D24" s="413"/>
      <c r="E24" s="413"/>
      <c r="F24" s="413"/>
      <c r="G24" s="47"/>
      <c r="H24" s="45"/>
    </row>
    <row r="25" spans="1:10" ht="14.25" thickTop="1" thickBot="1">
      <c r="A25" s="3" t="s">
        <v>660</v>
      </c>
      <c r="B25" s="272" t="s">
        <v>661</v>
      </c>
      <c r="C25" s="413"/>
      <c r="D25" s="413"/>
      <c r="E25" s="413"/>
      <c r="F25" s="413"/>
      <c r="G25" s="47"/>
      <c r="H25" s="183"/>
      <c r="J25" s="183"/>
    </row>
    <row r="26" spans="1:10" ht="14.25" thickTop="1" thickBot="1">
      <c r="B26" s="272" t="s">
        <v>656</v>
      </c>
      <c r="C26" s="413">
        <f t="shared" si="0"/>
        <v>123448</v>
      </c>
      <c r="D26" s="413">
        <v>79680</v>
      </c>
      <c r="E26" s="413">
        <f>31187+481+1080</f>
        <v>32748</v>
      </c>
      <c r="F26" s="413">
        <f>1586+9292+142</f>
        <v>11020</v>
      </c>
      <c r="G26" s="47"/>
      <c r="H26" s="194"/>
      <c r="I26" s="183"/>
    </row>
    <row r="27" spans="1:10" ht="14.25" thickTop="1" thickBot="1">
      <c r="B27" s="272" t="s">
        <v>657</v>
      </c>
      <c r="C27" s="413">
        <f t="shared" si="0"/>
        <v>366414</v>
      </c>
      <c r="D27" s="413">
        <v>233683</v>
      </c>
      <c r="E27" s="413">
        <f>94666+962+3062</f>
        <v>98690</v>
      </c>
      <c r="F27" s="413">
        <f>5595+28162+284</f>
        <v>34041</v>
      </c>
      <c r="G27" s="47"/>
    </row>
    <row r="28" spans="1:10" ht="14.25" thickTop="1" thickBot="1">
      <c r="B28" s="272"/>
      <c r="C28" s="413"/>
      <c r="D28" s="413"/>
      <c r="E28" s="413"/>
      <c r="F28" s="413"/>
      <c r="G28" s="47"/>
    </row>
    <row r="29" spans="1:10" ht="14.25" thickTop="1" thickBot="1">
      <c r="B29" s="272" t="s">
        <v>662</v>
      </c>
      <c r="C29" s="413"/>
      <c r="D29" s="413"/>
      <c r="E29" s="413"/>
      <c r="F29" s="413"/>
      <c r="G29" s="47"/>
    </row>
    <row r="30" spans="1:10" ht="14.25" thickTop="1" thickBot="1">
      <c r="B30" s="272" t="s">
        <v>656</v>
      </c>
      <c r="C30" s="413">
        <f t="shared" si="0"/>
        <v>137466</v>
      </c>
      <c r="D30" s="413">
        <v>92028</v>
      </c>
      <c r="E30" s="413">
        <f>23307+1571+1925</f>
        <v>26803</v>
      </c>
      <c r="F30" s="413">
        <f>11370+6733+532</f>
        <v>18635</v>
      </c>
      <c r="G30" s="47"/>
    </row>
    <row r="31" spans="1:10" ht="14.25" thickTop="1" thickBot="1">
      <c r="B31" s="272" t="s">
        <v>657</v>
      </c>
      <c r="C31" s="413">
        <f t="shared" si="0"/>
        <v>450258</v>
      </c>
      <c r="D31" s="413">
        <v>301928</v>
      </c>
      <c r="E31" s="413">
        <f>73294+4463+7106</f>
        <v>84863</v>
      </c>
      <c r="F31" s="413">
        <f>37562+25103+802</f>
        <v>63467</v>
      </c>
      <c r="G31" s="47"/>
    </row>
    <row r="32" spans="1:10" ht="14.25" thickTop="1" thickBot="1">
      <c r="B32" s="272"/>
      <c r="C32" s="413"/>
      <c r="D32" s="413"/>
      <c r="E32" s="413"/>
      <c r="F32" s="413"/>
      <c r="G32" s="47"/>
    </row>
    <row r="33" spans="2:7" ht="14.25" thickTop="1" thickBot="1">
      <c r="B33" s="272" t="s">
        <v>663</v>
      </c>
      <c r="C33" s="413"/>
      <c r="D33" s="413"/>
      <c r="E33" s="413"/>
      <c r="F33" s="413"/>
      <c r="G33" s="47"/>
    </row>
    <row r="34" spans="2:7" ht="14.25" thickTop="1" thickBot="1">
      <c r="B34" s="272" t="s">
        <v>656</v>
      </c>
      <c r="C34" s="413">
        <f t="shared" si="0"/>
        <v>119167</v>
      </c>
      <c r="D34" s="413">
        <v>31905</v>
      </c>
      <c r="E34" s="413">
        <f>60791+13563+2066</f>
        <v>76420</v>
      </c>
      <c r="F34" s="413">
        <f>7282+3560</f>
        <v>10842</v>
      </c>
      <c r="G34" s="47"/>
    </row>
    <row r="35" spans="2:7" ht="14.25" thickTop="1" thickBot="1">
      <c r="B35" s="272" t="s">
        <v>657</v>
      </c>
      <c r="C35" s="413">
        <f t="shared" si="0"/>
        <v>407493</v>
      </c>
      <c r="D35" s="413">
        <v>111578</v>
      </c>
      <c r="E35" s="413">
        <f>199858+49609+8243</f>
        <v>257710</v>
      </c>
      <c r="F35" s="413">
        <f>25587+12618</f>
        <v>38205</v>
      </c>
      <c r="G35" s="47"/>
    </row>
    <row r="36" spans="2:7" ht="13.5" thickTop="1">
      <c r="B36" s="297"/>
      <c r="C36" s="412"/>
      <c r="D36" s="412"/>
      <c r="E36" s="412"/>
      <c r="F36" s="412"/>
      <c r="G36" s="47"/>
    </row>
    <row r="37" spans="2:7">
      <c r="B37" s="297" t="s">
        <v>607</v>
      </c>
      <c r="C37" s="412"/>
      <c r="D37" s="412"/>
      <c r="E37" s="412"/>
      <c r="F37" s="412"/>
      <c r="G37" s="47"/>
    </row>
    <row r="38" spans="2:7">
      <c r="B38" s="297"/>
      <c r="C38" s="412"/>
      <c r="D38" s="412"/>
      <c r="E38" s="412"/>
      <c r="F38" s="412"/>
      <c r="G38" s="47"/>
    </row>
    <row r="39" spans="2:7" ht="13.5" thickBot="1">
      <c r="B39" s="297" t="s">
        <v>693</v>
      </c>
      <c r="C39" s="412"/>
      <c r="D39" s="412"/>
      <c r="E39" s="412"/>
      <c r="F39" s="412"/>
      <c r="G39" s="47"/>
    </row>
    <row r="40" spans="2:7" ht="14.25" thickTop="1" thickBot="1">
      <c r="B40" s="272" t="s">
        <v>656</v>
      </c>
      <c r="C40" s="412">
        <f>SUM(D40:F40)</f>
        <v>1113322</v>
      </c>
      <c r="D40" s="413">
        <v>731914</v>
      </c>
      <c r="E40" s="413">
        <v>372817</v>
      </c>
      <c r="F40" s="413">
        <v>8591</v>
      </c>
      <c r="G40" s="47"/>
    </row>
    <row r="41" spans="2:7" ht="14.25" thickTop="1" thickBot="1">
      <c r="B41" s="272" t="s">
        <v>657</v>
      </c>
      <c r="C41" s="412">
        <f>SUM(D41:F41)</f>
        <v>3630938</v>
      </c>
      <c r="D41" s="413">
        <v>2378170</v>
      </c>
      <c r="E41" s="413">
        <v>1219619</v>
      </c>
      <c r="F41" s="413">
        <v>33149</v>
      </c>
      <c r="G41" s="47"/>
    </row>
    <row r="42" spans="2:7" ht="13.5" thickTop="1">
      <c r="B42" s="297"/>
      <c r="C42" s="412"/>
      <c r="D42" s="412"/>
      <c r="E42" s="412"/>
      <c r="F42" s="412"/>
      <c r="G42" s="47"/>
    </row>
    <row r="43" spans="2:7" ht="13.5" thickBot="1">
      <c r="B43" s="297" t="s">
        <v>664</v>
      </c>
      <c r="C43" s="412"/>
      <c r="D43" s="412"/>
      <c r="E43" s="412"/>
      <c r="F43" s="412"/>
      <c r="G43" s="47"/>
    </row>
    <row r="44" spans="2:7" ht="14.25" thickTop="1" thickBot="1">
      <c r="B44" s="272" t="s">
        <v>656</v>
      </c>
      <c r="C44" s="412">
        <f>SUM(D44:F44)</f>
        <v>426707</v>
      </c>
      <c r="D44" s="413">
        <v>153078</v>
      </c>
      <c r="E44" s="413">
        <v>217928</v>
      </c>
      <c r="F44" s="413">
        <v>55701</v>
      </c>
      <c r="G44" s="47"/>
    </row>
    <row r="45" spans="2:7" ht="14.25" thickTop="1" thickBot="1">
      <c r="B45" s="272" t="s">
        <v>657</v>
      </c>
      <c r="C45" s="412">
        <f>SUM(D45:F45)</f>
        <v>1372735</v>
      </c>
      <c r="D45" s="413">
        <v>487768</v>
      </c>
      <c r="E45" s="413">
        <v>702669</v>
      </c>
      <c r="F45" s="413">
        <v>182298</v>
      </c>
      <c r="G45" s="47"/>
    </row>
    <row r="46" spans="2:7" ht="14.25" thickTop="1" thickBot="1">
      <c r="B46" s="237"/>
      <c r="C46" s="237"/>
      <c r="D46" s="237"/>
      <c r="E46" s="237"/>
      <c r="F46" s="237"/>
      <c r="G46" s="47"/>
    </row>
    <row r="47" spans="2:7" ht="14.25" thickTop="1" thickBot="1">
      <c r="B47" s="469" t="s">
        <v>513</v>
      </c>
      <c r="C47" s="470"/>
      <c r="D47" s="470"/>
      <c r="E47" s="470"/>
      <c r="F47" s="470"/>
    </row>
    <row r="48" spans="2:7" ht="14.25" thickTop="1">
      <c r="B48" s="524" t="s">
        <v>1081</v>
      </c>
      <c r="C48" s="524"/>
      <c r="D48" s="524"/>
      <c r="E48" s="524"/>
      <c r="F48" s="524"/>
    </row>
    <row r="49" spans="2:6" ht="13.5">
      <c r="B49" s="1"/>
      <c r="C49" s="75"/>
      <c r="D49" s="75"/>
      <c r="E49" s="1"/>
      <c r="F49" s="1"/>
    </row>
    <row r="50" spans="2:6" ht="13.5">
      <c r="B50" s="1"/>
      <c r="C50" s="1"/>
      <c r="D50" s="75"/>
      <c r="E50" s="75"/>
      <c r="F50" s="1"/>
    </row>
    <row r="51" spans="2:6" ht="13.5">
      <c r="B51" s="1"/>
      <c r="C51" s="1"/>
      <c r="D51" s="75"/>
      <c r="E51" s="75"/>
      <c r="F51" s="1"/>
    </row>
    <row r="52" spans="2:6" ht="13.5">
      <c r="B52" s="1"/>
      <c r="C52" s="1"/>
      <c r="D52" s="75"/>
      <c r="E52" s="75"/>
      <c r="F52" s="1"/>
    </row>
    <row r="53" spans="2:6" ht="13.5">
      <c r="B53" s="1"/>
      <c r="C53" s="1"/>
      <c r="D53" s="75"/>
      <c r="E53" s="75"/>
      <c r="F53" s="1"/>
    </row>
    <row r="54" spans="2:6" ht="13.5">
      <c r="B54" s="1"/>
      <c r="C54" s="186"/>
      <c r="D54" s="75"/>
      <c r="E54" s="75"/>
      <c r="F54" s="1"/>
    </row>
    <row r="55" spans="2:6" ht="15.75">
      <c r="B55" s="1"/>
      <c r="C55" s="1"/>
      <c r="D55" s="75"/>
      <c r="E55" s="76"/>
      <c r="F55" s="76"/>
    </row>
    <row r="56" spans="2:6" ht="15.75">
      <c r="B56" s="1"/>
      <c r="C56" s="1"/>
      <c r="D56" s="75"/>
      <c r="E56" s="76"/>
      <c r="F56" s="76"/>
    </row>
    <row r="57" spans="2:6" ht="15.75">
      <c r="D57" s="75"/>
      <c r="E57" s="77"/>
      <c r="F57" s="77"/>
    </row>
    <row r="58" spans="2:6" ht="15.75">
      <c r="D58" s="75"/>
      <c r="E58" s="77"/>
      <c r="F58" s="77"/>
    </row>
    <row r="59" spans="2:6" ht="15.75">
      <c r="D59" s="75"/>
      <c r="E59" s="77"/>
      <c r="F59" s="77"/>
    </row>
    <row r="60" spans="2:6" ht="15.75">
      <c r="D60" s="75"/>
      <c r="E60" s="77"/>
      <c r="F60" s="77"/>
    </row>
    <row r="61" spans="2:6" ht="13.5">
      <c r="D61" s="75"/>
    </row>
    <row r="62" spans="2:6" ht="13.5">
      <c r="D62" s="75"/>
    </row>
    <row r="63" spans="2:6" ht="13.5">
      <c r="D63" s="75"/>
    </row>
    <row r="64" spans="2:6" ht="15.75">
      <c r="D64" s="75"/>
      <c r="E64" s="77"/>
      <c r="F64" s="77"/>
    </row>
    <row r="65" spans="4:6" ht="15.75">
      <c r="D65" s="75"/>
      <c r="E65" s="77"/>
      <c r="F65" s="77"/>
    </row>
    <row r="66" spans="4:6" ht="15.75">
      <c r="D66" s="75"/>
      <c r="E66" s="77"/>
      <c r="F66" s="77"/>
    </row>
    <row r="67" spans="4:6" ht="15.75">
      <c r="D67" s="75"/>
      <c r="E67" s="77"/>
      <c r="F67" s="77"/>
    </row>
    <row r="68" spans="4:6" ht="13.5">
      <c r="D68" s="75"/>
    </row>
    <row r="69" spans="4:6" ht="13.5">
      <c r="D69" s="75"/>
    </row>
    <row r="70" spans="4:6" ht="13.5">
      <c r="D70" s="75"/>
    </row>
    <row r="71" spans="4:6" ht="13.5">
      <c r="D71" s="75"/>
    </row>
    <row r="72" spans="4:6" ht="13.5">
      <c r="D72" s="75"/>
    </row>
    <row r="73" spans="4:6" ht="13.5">
      <c r="D73" s="75"/>
    </row>
    <row r="74" spans="4:6" ht="13.5">
      <c r="D74" s="75"/>
    </row>
  </sheetData>
  <mergeCells count="7">
    <mergeCell ref="B48:F48"/>
    <mergeCell ref="B4:B5"/>
    <mergeCell ref="C4:C5"/>
    <mergeCell ref="B47:F47"/>
    <mergeCell ref="B2:F2"/>
    <mergeCell ref="B3:F3"/>
    <mergeCell ref="D4:F4"/>
  </mergeCells>
  <hyperlinks>
    <hyperlink ref="B3:F3" location="'Capitulo 3'!B27" display="Viviendas ocupadas y total de ocupantes por procedencia del agua, según región y zona. 2018." xr:uid="{00000000-0004-0000-16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L67"/>
  <sheetViews>
    <sheetView showGridLines="0" topLeftCell="C1" zoomScale="115" zoomScaleNormal="115" workbookViewId="0">
      <pane ySplit="6" topLeftCell="A7" activePane="bottomLeft" state="frozen"/>
      <selection pane="bottomLeft" activeCell="Q20" sqref="Q20"/>
    </sheetView>
  </sheetViews>
  <sheetFormatPr baseColWidth="10" defaultColWidth="11" defaultRowHeight="12.75"/>
  <cols>
    <col min="1" max="1" width="15.7109375" style="3" customWidth="1"/>
    <col min="2" max="2" width="21.5703125" style="3" customWidth="1"/>
    <col min="3" max="4" width="21.42578125" style="3" customWidth="1"/>
    <col min="5" max="5" width="18.7109375" style="3" customWidth="1"/>
    <col min="6" max="6" width="16.140625" style="3" customWidth="1"/>
    <col min="7" max="7" width="12.140625" style="3" bestFit="1" customWidth="1"/>
    <col min="8" max="8" width="15.5703125" style="3" customWidth="1"/>
    <col min="9" max="9" width="15.7109375" style="3" customWidth="1"/>
    <col min="10" max="10" width="11" style="3" customWidth="1"/>
    <col min="11" max="11" width="14.42578125" style="3" customWidth="1"/>
    <col min="12" max="16384" width="11" style="3"/>
  </cols>
  <sheetData>
    <row r="2" spans="2:10" ht="17.25" customHeight="1">
      <c r="B2" s="462" t="s">
        <v>298</v>
      </c>
      <c r="C2" s="462"/>
      <c r="D2" s="462"/>
      <c r="E2" s="462"/>
      <c r="F2" s="462"/>
    </row>
    <row r="3" spans="2:10" ht="41.25" customHeight="1" thickBot="1">
      <c r="B3" s="464" t="s">
        <v>665</v>
      </c>
      <c r="C3" s="464"/>
      <c r="D3" s="464"/>
      <c r="E3" s="464"/>
      <c r="F3" s="464"/>
    </row>
    <row r="4" spans="2:10" ht="16.5" customHeight="1" thickTop="1" thickBot="1">
      <c r="B4" s="476" t="s">
        <v>651</v>
      </c>
      <c r="C4" s="476" t="s">
        <v>178</v>
      </c>
      <c r="D4" s="511" t="s">
        <v>347</v>
      </c>
      <c r="E4" s="512"/>
      <c r="F4" s="503"/>
      <c r="G4" s="196"/>
    </row>
    <row r="5" spans="2:10" ht="24" customHeight="1" thickTop="1">
      <c r="B5" s="527"/>
      <c r="C5" s="527"/>
      <c r="D5" s="528" t="s">
        <v>157</v>
      </c>
      <c r="E5" s="530" t="s">
        <v>436</v>
      </c>
      <c r="F5" s="476" t="s">
        <v>435</v>
      </c>
      <c r="I5" s="195"/>
    </row>
    <row r="6" spans="2:10" ht="13.5" customHeight="1" thickBot="1">
      <c r="B6" s="477"/>
      <c r="C6" s="477"/>
      <c r="D6" s="529"/>
      <c r="E6" s="531"/>
      <c r="F6" s="477"/>
    </row>
    <row r="7" spans="2:10" ht="14.25" thickTop="1" thickBot="1">
      <c r="B7" s="272" t="s">
        <v>103</v>
      </c>
      <c r="C7" s="252"/>
      <c r="D7" s="303"/>
      <c r="E7" s="303"/>
      <c r="F7" s="252"/>
    </row>
    <row r="8" spans="2:10" ht="14.25" thickTop="1" thickBot="1">
      <c r="B8" s="272"/>
      <c r="C8" s="252"/>
      <c r="D8" s="303"/>
      <c r="E8" s="303"/>
      <c r="F8" s="252"/>
    </row>
    <row r="9" spans="2:10" ht="14.25" thickTop="1" thickBot="1">
      <c r="B9" s="272" t="s">
        <v>121</v>
      </c>
      <c r="C9" s="413">
        <f>SUM(D9:F9)</f>
        <v>1540029</v>
      </c>
      <c r="D9" s="413">
        <v>1505525</v>
      </c>
      <c r="E9" s="413">
        <f>23875+4301</f>
        <v>28176</v>
      </c>
      <c r="F9" s="413">
        <v>6328</v>
      </c>
      <c r="G9" s="177"/>
    </row>
    <row r="10" spans="2:10" ht="14.25" thickTop="1" thickBot="1">
      <c r="B10" s="272" t="s">
        <v>122</v>
      </c>
      <c r="C10" s="413">
        <f>SUM(D10:F10)</f>
        <v>5003673</v>
      </c>
      <c r="D10" s="413">
        <v>4892218</v>
      </c>
      <c r="E10" s="413">
        <f>77632+15144</f>
        <v>92776</v>
      </c>
      <c r="F10" s="413">
        <v>18679</v>
      </c>
      <c r="G10" s="177"/>
    </row>
    <row r="11" spans="2:10" ht="14.25" thickTop="1" thickBot="1">
      <c r="B11" s="272"/>
      <c r="C11" s="413"/>
      <c r="D11" s="413"/>
      <c r="E11" s="413"/>
      <c r="F11" s="413"/>
      <c r="G11" s="177"/>
    </row>
    <row r="12" spans="2:10" ht="14.25" thickTop="1" thickBot="1">
      <c r="B12" s="272" t="s">
        <v>115</v>
      </c>
      <c r="C12" s="413"/>
      <c r="D12" s="413"/>
      <c r="E12" s="413"/>
      <c r="F12" s="413"/>
      <c r="G12" s="177"/>
    </row>
    <row r="13" spans="2:10" ht="14.25" thickTop="1" thickBot="1">
      <c r="B13" s="272"/>
      <c r="C13" s="413"/>
      <c r="D13" s="413"/>
      <c r="E13" s="413"/>
      <c r="F13" s="413"/>
      <c r="G13" s="177"/>
    </row>
    <row r="14" spans="2:10" ht="14.25" thickTop="1" thickBot="1">
      <c r="B14" s="272" t="s">
        <v>655</v>
      </c>
      <c r="C14" s="413"/>
      <c r="D14" s="413"/>
      <c r="E14" s="413"/>
      <c r="F14" s="413"/>
      <c r="G14" s="177"/>
    </row>
    <row r="15" spans="2:10" ht="14.25" thickTop="1" thickBot="1">
      <c r="B15" s="272" t="s">
        <v>666</v>
      </c>
      <c r="C15" s="413">
        <f t="shared" ref="C15:C36" si="0">SUM(D15:F15)</f>
        <v>949460</v>
      </c>
      <c r="D15" s="413">
        <v>938439</v>
      </c>
      <c r="E15" s="419">
        <f>8920+1448</f>
        <v>10368</v>
      </c>
      <c r="F15" s="413">
        <v>653</v>
      </c>
      <c r="G15" s="177"/>
      <c r="H15" s="177"/>
      <c r="I15" s="177"/>
      <c r="J15" s="177"/>
    </row>
    <row r="16" spans="2:10" ht="14.25" thickTop="1" thickBot="1">
      <c r="B16" s="272" t="s">
        <v>667</v>
      </c>
      <c r="C16" s="413">
        <f t="shared" si="0"/>
        <v>3102787</v>
      </c>
      <c r="D16" s="413">
        <v>3065935</v>
      </c>
      <c r="E16" s="420">
        <f>28266+5951</f>
        <v>34217</v>
      </c>
      <c r="F16" s="413">
        <v>2635</v>
      </c>
      <c r="G16" s="177"/>
    </row>
    <row r="17" spans="2:7" ht="14.25" thickTop="1" thickBot="1">
      <c r="B17" s="272"/>
      <c r="C17" s="413"/>
      <c r="D17" s="413"/>
      <c r="E17" s="421"/>
      <c r="F17" s="413"/>
      <c r="G17" s="177"/>
    </row>
    <row r="18" spans="2:7" ht="14.25" thickTop="1" thickBot="1">
      <c r="B18" s="272" t="s">
        <v>658</v>
      </c>
      <c r="C18" s="413"/>
      <c r="D18" s="413"/>
      <c r="E18" s="413"/>
      <c r="F18" s="413"/>
      <c r="G18" s="177"/>
    </row>
    <row r="19" spans="2:7" ht="14.25" thickTop="1" thickBot="1">
      <c r="B19" s="272" t="s">
        <v>666</v>
      </c>
      <c r="C19" s="413">
        <f t="shared" si="0"/>
        <v>118218</v>
      </c>
      <c r="D19" s="413">
        <v>113284</v>
      </c>
      <c r="E19" s="413">
        <f>3475+484</f>
        <v>3959</v>
      </c>
      <c r="F19" s="413">
        <v>975</v>
      </c>
      <c r="G19" s="177"/>
    </row>
    <row r="20" spans="2:7" ht="14.25" thickTop="1" thickBot="1">
      <c r="B20" s="272" t="s">
        <v>667</v>
      </c>
      <c r="C20" s="413">
        <f t="shared" si="0"/>
        <v>382913</v>
      </c>
      <c r="D20" s="413">
        <v>366566</v>
      </c>
      <c r="E20" s="413">
        <f>10971+1590</f>
        <v>12561</v>
      </c>
      <c r="F20" s="413">
        <v>3786</v>
      </c>
      <c r="G20" s="177"/>
    </row>
    <row r="21" spans="2:7" ht="14.25" thickTop="1" thickBot="1">
      <c r="B21" s="272"/>
      <c r="C21" s="413"/>
      <c r="D21" s="413"/>
      <c r="E21" s="413"/>
      <c r="F21" s="413"/>
      <c r="G21" s="177"/>
    </row>
    <row r="22" spans="2:7" ht="14.25" thickTop="1" thickBot="1">
      <c r="B22" s="272" t="s">
        <v>659</v>
      </c>
      <c r="C22" s="413"/>
      <c r="D22" s="413"/>
      <c r="E22" s="413"/>
      <c r="F22" s="413"/>
      <c r="G22" s="177"/>
    </row>
    <row r="23" spans="2:7" ht="14.25" thickTop="1" thickBot="1">
      <c r="B23" s="272" t="s">
        <v>666</v>
      </c>
      <c r="C23" s="413">
        <f t="shared" si="0"/>
        <v>92270</v>
      </c>
      <c r="D23" s="413">
        <v>89733</v>
      </c>
      <c r="E23" s="413">
        <f>912+644</f>
        <v>1556</v>
      </c>
      <c r="F23" s="413">
        <v>981</v>
      </c>
      <c r="G23" s="177"/>
    </row>
    <row r="24" spans="2:7" ht="14.25" thickTop="1" thickBot="1">
      <c r="B24" s="272" t="s">
        <v>667</v>
      </c>
      <c r="C24" s="413">
        <f t="shared" si="0"/>
        <v>293808</v>
      </c>
      <c r="D24" s="413">
        <v>287243</v>
      </c>
      <c r="E24" s="413">
        <f>2784+1811</f>
        <v>4595</v>
      </c>
      <c r="F24" s="413">
        <v>1970</v>
      </c>
      <c r="G24" s="177"/>
    </row>
    <row r="25" spans="2:7" ht="14.25" thickTop="1" thickBot="1">
      <c r="B25" s="272"/>
      <c r="C25" s="413"/>
      <c r="D25" s="413"/>
      <c r="E25" s="413"/>
      <c r="F25" s="413"/>
      <c r="G25" s="177"/>
    </row>
    <row r="26" spans="2:7" ht="14.25" thickTop="1" thickBot="1">
      <c r="B26" s="272" t="s">
        <v>661</v>
      </c>
      <c r="C26" s="413"/>
      <c r="D26" s="413"/>
      <c r="E26" s="413"/>
      <c r="F26" s="413"/>
      <c r="G26" s="177"/>
    </row>
    <row r="27" spans="2:7" ht="14.25" thickTop="1" thickBot="1">
      <c r="B27" s="272" t="s">
        <v>666</v>
      </c>
      <c r="C27" s="413">
        <f t="shared" si="0"/>
        <v>123448</v>
      </c>
      <c r="D27" s="413">
        <v>115997</v>
      </c>
      <c r="E27" s="413">
        <f>6531+455</f>
        <v>6986</v>
      </c>
      <c r="F27" s="413">
        <v>465</v>
      </c>
      <c r="G27" s="177"/>
    </row>
    <row r="28" spans="2:7" ht="14.25" thickTop="1" thickBot="1">
      <c r="B28" s="272" t="s">
        <v>667</v>
      </c>
      <c r="C28" s="413">
        <f t="shared" si="0"/>
        <v>366414</v>
      </c>
      <c r="D28" s="413">
        <v>343937</v>
      </c>
      <c r="E28" s="413">
        <f>19638+1121</f>
        <v>20759</v>
      </c>
      <c r="F28" s="413">
        <v>1718</v>
      </c>
      <c r="G28" s="177"/>
    </row>
    <row r="29" spans="2:7" ht="14.25" thickTop="1" thickBot="1">
      <c r="B29" s="272"/>
      <c r="C29" s="413"/>
      <c r="D29" s="413"/>
      <c r="E29" s="413"/>
      <c r="F29" s="413"/>
      <c r="G29" s="177"/>
    </row>
    <row r="30" spans="2:7" ht="14.25" thickTop="1" thickBot="1">
      <c r="B30" s="272" t="s">
        <v>662</v>
      </c>
      <c r="C30" s="413"/>
      <c r="D30" s="413"/>
      <c r="E30" s="413"/>
      <c r="F30" s="413"/>
      <c r="G30" s="177"/>
    </row>
    <row r="31" spans="2:7" ht="14.25" thickTop="1" thickBot="1">
      <c r="B31" s="272" t="s">
        <v>666</v>
      </c>
      <c r="C31" s="413">
        <f t="shared" si="0"/>
        <v>137466</v>
      </c>
      <c r="D31" s="413">
        <v>130799</v>
      </c>
      <c r="E31" s="413">
        <f>3529+887</f>
        <v>4416</v>
      </c>
      <c r="F31" s="413">
        <v>2251</v>
      </c>
      <c r="G31" s="177"/>
    </row>
    <row r="32" spans="2:7" ht="14.25" thickTop="1" thickBot="1">
      <c r="B32" s="272" t="s">
        <v>667</v>
      </c>
      <c r="C32" s="413">
        <f t="shared" si="0"/>
        <v>450258</v>
      </c>
      <c r="D32" s="413">
        <v>427387</v>
      </c>
      <c r="E32" s="413">
        <f>13545+3508</f>
        <v>17053</v>
      </c>
      <c r="F32" s="413">
        <v>5818</v>
      </c>
      <c r="G32" s="177"/>
    </row>
    <row r="33" spans="2:12" ht="14.25" thickTop="1" thickBot="1">
      <c r="B33" s="272"/>
      <c r="C33" s="413"/>
      <c r="D33" s="413"/>
      <c r="E33" s="413"/>
      <c r="F33" s="413"/>
      <c r="G33" s="177"/>
    </row>
    <row r="34" spans="2:12" ht="14.25" thickTop="1" thickBot="1">
      <c r="B34" s="272" t="s">
        <v>663</v>
      </c>
      <c r="C34" s="413"/>
      <c r="D34" s="413"/>
      <c r="E34" s="413"/>
      <c r="F34" s="413"/>
      <c r="G34" s="177"/>
    </row>
    <row r="35" spans="2:12" ht="14.25" thickTop="1" thickBot="1">
      <c r="B35" s="272" t="s">
        <v>666</v>
      </c>
      <c r="C35" s="413">
        <f t="shared" si="0"/>
        <v>119167</v>
      </c>
      <c r="D35" s="413">
        <v>117273</v>
      </c>
      <c r="E35" s="413">
        <f>508+383</f>
        <v>891</v>
      </c>
      <c r="F35" s="413">
        <v>1003</v>
      </c>
      <c r="G35" s="177"/>
    </row>
    <row r="36" spans="2:12" ht="14.25" thickTop="1" thickBot="1">
      <c r="B36" s="272" t="s">
        <v>667</v>
      </c>
      <c r="C36" s="413">
        <f t="shared" si="0"/>
        <v>407493</v>
      </c>
      <c r="D36" s="413">
        <v>401150</v>
      </c>
      <c r="E36" s="413">
        <f>2428+1163</f>
        <v>3591</v>
      </c>
      <c r="F36" s="413">
        <v>2752</v>
      </c>
      <c r="G36" s="177"/>
    </row>
    <row r="37" spans="2:12" ht="13.5" thickTop="1">
      <c r="B37" s="297"/>
      <c r="C37" s="412"/>
      <c r="D37" s="412"/>
      <c r="E37" s="412"/>
      <c r="F37" s="412"/>
      <c r="G37" s="177"/>
    </row>
    <row r="38" spans="2:12">
      <c r="B38" s="297" t="s">
        <v>607</v>
      </c>
      <c r="C38" s="412"/>
      <c r="D38" s="412"/>
      <c r="E38" s="412"/>
      <c r="F38" s="412"/>
      <c r="G38" s="177"/>
    </row>
    <row r="39" spans="2:12">
      <c r="B39" s="297"/>
      <c r="C39" s="412"/>
      <c r="D39" s="412"/>
      <c r="E39" s="412"/>
      <c r="F39" s="412"/>
      <c r="G39" s="177"/>
    </row>
    <row r="40" spans="2:12" ht="13.5" thickBot="1">
      <c r="B40" s="297" t="s">
        <v>693</v>
      </c>
      <c r="C40" s="412"/>
      <c r="D40" s="412"/>
      <c r="E40" s="412"/>
      <c r="F40" s="412"/>
      <c r="G40" s="177"/>
    </row>
    <row r="41" spans="2:12" ht="14.25" thickTop="1" thickBot="1">
      <c r="B41" s="272" t="s">
        <v>666</v>
      </c>
      <c r="C41" s="412">
        <f>SUM(D41:F41)</f>
        <v>1113322</v>
      </c>
      <c r="D41" s="413">
        <v>1097334</v>
      </c>
      <c r="E41" s="413">
        <v>14280</v>
      </c>
      <c r="F41" s="413">
        <v>1708</v>
      </c>
      <c r="G41" s="177"/>
    </row>
    <row r="42" spans="2:12" ht="14.25" thickTop="1" thickBot="1">
      <c r="B42" s="272" t="s">
        <v>667</v>
      </c>
      <c r="C42" s="412">
        <f>SUM(D42:F42)</f>
        <v>3630938</v>
      </c>
      <c r="D42" s="413">
        <v>3576651</v>
      </c>
      <c r="E42" s="413">
        <v>48596</v>
      </c>
      <c r="F42" s="413">
        <v>5691</v>
      </c>
      <c r="G42" s="177"/>
    </row>
    <row r="43" spans="2:12" ht="13.5" thickTop="1">
      <c r="B43" s="297"/>
      <c r="C43" s="412"/>
      <c r="D43" s="412"/>
      <c r="E43" s="412"/>
      <c r="F43" s="412"/>
      <c r="G43" s="177"/>
    </row>
    <row r="44" spans="2:12" ht="13.5" thickBot="1">
      <c r="B44" s="297" t="s">
        <v>664</v>
      </c>
      <c r="C44" s="412"/>
      <c r="D44" s="412"/>
      <c r="E44" s="412"/>
      <c r="F44" s="412"/>
      <c r="G44" s="177"/>
    </row>
    <row r="45" spans="2:12" ht="14.25" thickTop="1" thickBot="1">
      <c r="B45" s="272" t="s">
        <v>666</v>
      </c>
      <c r="C45" s="412">
        <f>SUM(D45:F45)</f>
        <v>426707</v>
      </c>
      <c r="D45" s="413">
        <v>408191</v>
      </c>
      <c r="E45" s="413">
        <v>13896</v>
      </c>
      <c r="F45" s="413">
        <v>4620</v>
      </c>
      <c r="G45" s="177"/>
    </row>
    <row r="46" spans="2:12" ht="14.25" thickTop="1" thickBot="1">
      <c r="B46" s="272" t="s">
        <v>667</v>
      </c>
      <c r="C46" s="412">
        <f>SUM(D46:F46)</f>
        <v>1372735</v>
      </c>
      <c r="D46" s="413">
        <v>1315567</v>
      </c>
      <c r="E46" s="413">
        <v>44180</v>
      </c>
      <c r="F46" s="413">
        <v>12988</v>
      </c>
      <c r="G46" s="177"/>
    </row>
    <row r="47" spans="2:12" ht="15.75" thickTop="1" thickBot="1">
      <c r="B47" s="298"/>
      <c r="C47" s="302"/>
      <c r="D47" s="302"/>
      <c r="E47" s="302"/>
      <c r="F47" s="302"/>
    </row>
    <row r="48" spans="2:12" ht="14.25" thickTop="1" thickBot="1">
      <c r="B48" s="495" t="s">
        <v>513</v>
      </c>
      <c r="C48" s="496"/>
      <c r="D48" s="496"/>
      <c r="E48" s="496"/>
      <c r="F48" s="526"/>
      <c r="G48" s="78"/>
      <c r="H48" s="78"/>
      <c r="I48" s="78"/>
      <c r="J48" s="78"/>
      <c r="K48" s="78"/>
      <c r="L48" s="78"/>
    </row>
    <row r="49" spans="2:7" ht="13.5" thickTop="1">
      <c r="B49" s="525"/>
      <c r="C49" s="525"/>
      <c r="D49" s="525"/>
      <c r="E49" s="525"/>
      <c r="F49" s="525"/>
      <c r="G49" s="47"/>
    </row>
    <row r="50" spans="2:7">
      <c r="C50" s="47"/>
    </row>
    <row r="51" spans="2:7">
      <c r="C51" s="47"/>
    </row>
    <row r="67" spans="1:5" ht="15">
      <c r="A67" s="6"/>
      <c r="B67" s="49"/>
      <c r="C67" s="49"/>
      <c r="D67" s="49"/>
      <c r="E67" s="49"/>
    </row>
  </sheetData>
  <mergeCells count="10">
    <mergeCell ref="B49:F49"/>
    <mergeCell ref="B48:F48"/>
    <mergeCell ref="B2:F2"/>
    <mergeCell ref="B3:F3"/>
    <mergeCell ref="B4:B6"/>
    <mergeCell ref="D5:D6"/>
    <mergeCell ref="C4:C6"/>
    <mergeCell ref="E5:E6"/>
    <mergeCell ref="D4:F4"/>
    <mergeCell ref="F5:F6"/>
  </mergeCells>
  <hyperlinks>
    <hyperlink ref="B3:F3" location="'Capitulo 3'!B28" display="Viviendas ocupadas y total de ocupantes por tipo de abastecimiento de agua, según región y zona. 2018." xr:uid="{00000000-0004-0000-17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1:O297"/>
  <sheetViews>
    <sheetView showGridLines="0" topLeftCell="C1" zoomScale="115" zoomScaleNormal="115" workbookViewId="0">
      <pane ySplit="5" topLeftCell="A9" activePane="bottomLeft" state="frozen"/>
      <selection pane="bottomLeft" activeCell="E23" sqref="E23"/>
    </sheetView>
  </sheetViews>
  <sheetFormatPr baseColWidth="10" defaultColWidth="11.42578125" defaultRowHeight="12.75"/>
  <cols>
    <col min="1" max="1" width="11.42578125" customWidth="1"/>
    <col min="2" max="2" width="44" style="3" bestFit="1" customWidth="1"/>
    <col min="3" max="3" width="21" style="3" customWidth="1"/>
    <col min="4" max="4" width="17" style="3" customWidth="1"/>
    <col min="5" max="5" width="19.28515625" style="3" customWidth="1"/>
    <col min="6" max="6" width="18.42578125" style="3" customWidth="1"/>
    <col min="7" max="7" width="19.5703125" style="3" customWidth="1"/>
    <col min="8" max="8" width="21.85546875" style="3" customWidth="1"/>
    <col min="9" max="9" width="15" style="3" customWidth="1"/>
    <col min="10" max="10" width="17.85546875" style="3" customWidth="1"/>
    <col min="11" max="15" width="11.42578125" style="3" customWidth="1"/>
  </cols>
  <sheetData>
    <row r="1" spans="2:11" ht="15.75">
      <c r="B1" s="28"/>
      <c r="C1" s="10"/>
      <c r="D1" s="10"/>
      <c r="E1" s="10"/>
      <c r="F1" s="10"/>
      <c r="G1" s="10"/>
      <c r="H1" s="10"/>
    </row>
    <row r="2" spans="2:11" ht="15">
      <c r="B2" s="462" t="s">
        <v>299</v>
      </c>
      <c r="C2" s="462"/>
      <c r="D2" s="462"/>
      <c r="E2" s="462"/>
      <c r="F2" s="462"/>
      <c r="G2" s="462"/>
      <c r="H2" s="462"/>
      <c r="I2" s="462"/>
      <c r="J2" s="462"/>
    </row>
    <row r="3" spans="2:11" ht="32.25" customHeight="1" thickBot="1">
      <c r="B3" s="482" t="s">
        <v>515</v>
      </c>
      <c r="C3" s="482"/>
      <c r="D3" s="482"/>
      <c r="E3" s="482"/>
      <c r="F3" s="482"/>
      <c r="G3" s="482"/>
      <c r="H3" s="482"/>
      <c r="I3" s="482"/>
      <c r="J3" s="482"/>
    </row>
    <row r="4" spans="2:11" ht="15.75" customHeight="1" thickTop="1" thickBot="1">
      <c r="B4" s="494" t="s">
        <v>158</v>
      </c>
      <c r="C4" s="494" t="s">
        <v>159</v>
      </c>
      <c r="D4" s="494" t="s">
        <v>160</v>
      </c>
      <c r="E4" s="459" t="s">
        <v>124</v>
      </c>
      <c r="F4" s="460"/>
      <c r="G4" s="460"/>
      <c r="H4" s="460"/>
      <c r="I4" s="460"/>
      <c r="J4" s="461"/>
    </row>
    <row r="5" spans="2:11" ht="52.5" thickTop="1" thickBot="1">
      <c r="B5" s="510"/>
      <c r="C5" s="510"/>
      <c r="D5" s="510"/>
      <c r="E5" s="314" t="s">
        <v>153</v>
      </c>
      <c r="F5" s="314" t="s">
        <v>125</v>
      </c>
      <c r="G5" s="314" t="s">
        <v>126</v>
      </c>
      <c r="H5" s="314" t="s">
        <v>161</v>
      </c>
      <c r="I5" s="314" t="s">
        <v>128</v>
      </c>
      <c r="J5" s="314" t="s">
        <v>129</v>
      </c>
    </row>
    <row r="6" spans="2:11" ht="14.25" thickTop="1" thickBot="1">
      <c r="B6" s="272" t="s">
        <v>114</v>
      </c>
      <c r="C6" s="413">
        <v>1540029</v>
      </c>
      <c r="D6" s="280">
        <f>SUM(D7:D12)</f>
        <v>1</v>
      </c>
      <c r="E6" s="413">
        <v>45904</v>
      </c>
      <c r="F6" s="413">
        <v>926944</v>
      </c>
      <c r="G6" s="413">
        <v>522492</v>
      </c>
      <c r="H6" s="413">
        <v>37288</v>
      </c>
      <c r="I6" s="413">
        <v>1349</v>
      </c>
      <c r="J6" s="413">
        <v>6052</v>
      </c>
      <c r="K6" s="119"/>
    </row>
    <row r="7" spans="2:11" ht="14.25" thickTop="1" thickBot="1">
      <c r="B7" s="272" t="s">
        <v>410</v>
      </c>
      <c r="C7" s="413">
        <v>1369391</v>
      </c>
      <c r="D7" s="280">
        <f t="shared" ref="D7:D12" si="0">+C7/$C$6</f>
        <v>0.88919819042368686</v>
      </c>
      <c r="E7" s="413">
        <v>45664</v>
      </c>
      <c r="F7" s="413">
        <v>767520</v>
      </c>
      <c r="G7" s="413">
        <v>513535</v>
      </c>
      <c r="H7" s="413">
        <v>37288</v>
      </c>
      <c r="I7" s="413">
        <v>1349</v>
      </c>
      <c r="J7" s="413">
        <v>4035</v>
      </c>
      <c r="K7" s="119"/>
    </row>
    <row r="8" spans="2:11" ht="14.25" thickTop="1" thickBot="1">
      <c r="B8" s="272" t="s">
        <v>411</v>
      </c>
      <c r="C8" s="413">
        <v>39822</v>
      </c>
      <c r="D8" s="280">
        <f t="shared" si="0"/>
        <v>2.5857954622932427E-2</v>
      </c>
      <c r="E8" s="413" t="s">
        <v>156</v>
      </c>
      <c r="F8" s="413">
        <v>37276</v>
      </c>
      <c r="G8" s="413">
        <v>1996</v>
      </c>
      <c r="H8" s="413" t="s">
        <v>156</v>
      </c>
      <c r="I8" s="413" t="s">
        <v>156</v>
      </c>
      <c r="J8" s="413">
        <v>550</v>
      </c>
      <c r="K8" s="119"/>
    </row>
    <row r="9" spans="2:11" ht="14.25" thickTop="1" thickBot="1">
      <c r="B9" s="272" t="s">
        <v>412</v>
      </c>
      <c r="C9" s="413">
        <v>123593</v>
      </c>
      <c r="D9" s="280">
        <f t="shared" si="0"/>
        <v>8.0253683534530842E-2</v>
      </c>
      <c r="E9" s="413">
        <v>240</v>
      </c>
      <c r="F9" s="413">
        <v>116132</v>
      </c>
      <c r="G9" s="413">
        <v>6085</v>
      </c>
      <c r="H9" s="413" t="s">
        <v>156</v>
      </c>
      <c r="I9" s="413" t="s">
        <v>156</v>
      </c>
      <c r="J9" s="413">
        <v>1136</v>
      </c>
      <c r="K9" s="119"/>
    </row>
    <row r="10" spans="2:11" ht="14.25" thickTop="1" thickBot="1">
      <c r="B10" s="272" t="s">
        <v>413</v>
      </c>
      <c r="C10" s="413">
        <v>2542</v>
      </c>
      <c r="D10" s="280">
        <f t="shared" si="0"/>
        <v>1.6506182675780781E-3</v>
      </c>
      <c r="E10" s="413" t="s">
        <v>156</v>
      </c>
      <c r="F10" s="413">
        <v>2077</v>
      </c>
      <c r="G10" s="413">
        <v>134</v>
      </c>
      <c r="H10" s="413" t="s">
        <v>156</v>
      </c>
      <c r="I10" s="413" t="s">
        <v>156</v>
      </c>
      <c r="J10" s="413">
        <v>331</v>
      </c>
      <c r="K10" s="119"/>
    </row>
    <row r="11" spans="2:11" ht="14.25" thickTop="1" thickBot="1">
      <c r="B11" s="272" t="s">
        <v>414</v>
      </c>
      <c r="C11" s="413">
        <v>1517</v>
      </c>
      <c r="D11" s="280">
        <f t="shared" si="0"/>
        <v>9.8504638549014333E-4</v>
      </c>
      <c r="E11" s="413" t="s">
        <v>156</v>
      </c>
      <c r="F11" s="413">
        <v>895</v>
      </c>
      <c r="G11" s="413">
        <v>622</v>
      </c>
      <c r="H11" s="413" t="s">
        <v>156</v>
      </c>
      <c r="I11" s="413" t="s">
        <v>156</v>
      </c>
      <c r="J11" s="413" t="s">
        <v>156</v>
      </c>
      <c r="K11" s="119"/>
    </row>
    <row r="12" spans="2:11" ht="14.25" thickTop="1" thickBot="1">
      <c r="B12" s="272" t="s">
        <v>415</v>
      </c>
      <c r="C12" s="413">
        <v>3164</v>
      </c>
      <c r="D12" s="280">
        <f t="shared" si="0"/>
        <v>2.0545067657816835E-3</v>
      </c>
      <c r="E12" s="413" t="s">
        <v>156</v>
      </c>
      <c r="F12" s="413">
        <v>3044</v>
      </c>
      <c r="G12" s="413">
        <v>120</v>
      </c>
      <c r="H12" s="413" t="s">
        <v>156</v>
      </c>
      <c r="I12" s="413" t="s">
        <v>156</v>
      </c>
      <c r="J12" s="413" t="s">
        <v>156</v>
      </c>
      <c r="K12" s="119"/>
    </row>
    <row r="13" spans="2:11" ht="15.75" thickTop="1" thickBot="1">
      <c r="B13" s="304"/>
      <c r="C13" s="305"/>
      <c r="D13" s="305"/>
      <c r="E13" s="305"/>
      <c r="F13" s="305"/>
      <c r="G13" s="305"/>
      <c r="H13" s="305"/>
      <c r="I13" s="305"/>
      <c r="J13" s="306"/>
    </row>
    <row r="14" spans="2:11" ht="14.25" thickTop="1" thickBot="1">
      <c r="B14" s="466" t="s">
        <v>513</v>
      </c>
      <c r="C14" s="467"/>
      <c r="D14" s="467"/>
      <c r="E14" s="467"/>
      <c r="F14" s="467"/>
      <c r="G14" s="467"/>
      <c r="H14" s="467"/>
      <c r="I14" s="467"/>
      <c r="J14" s="467"/>
    </row>
    <row r="15" spans="2:11" ht="13.5" thickTop="1">
      <c r="B15" s="80"/>
      <c r="C15" s="81"/>
      <c r="D15" s="81"/>
      <c r="E15" s="81"/>
      <c r="F15" s="81"/>
      <c r="G15" s="81"/>
      <c r="H15" s="81"/>
    </row>
    <row r="16" spans="2:11">
      <c r="B16" s="80"/>
      <c r="C16" s="81"/>
      <c r="D16" s="81"/>
      <c r="E16" s="81"/>
      <c r="F16" s="81"/>
      <c r="G16" s="81"/>
      <c r="H16" s="81"/>
      <c r="I16" s="81"/>
      <c r="J16" s="81"/>
    </row>
    <row r="17" spans="2:10">
      <c r="B17" s="82"/>
      <c r="C17" s="83"/>
      <c r="D17" s="83"/>
      <c r="E17" s="83"/>
      <c r="F17" s="83"/>
      <c r="G17" s="83"/>
      <c r="H17" s="83"/>
      <c r="J17" s="119"/>
    </row>
    <row r="18" spans="2:10">
      <c r="B18" s="80"/>
      <c r="C18" s="83"/>
      <c r="D18" s="83"/>
      <c r="E18" s="83"/>
      <c r="F18" s="83"/>
      <c r="G18" s="83"/>
      <c r="H18" s="83"/>
      <c r="I18" s="119"/>
      <c r="J18" s="119"/>
    </row>
    <row r="19" spans="2:10">
      <c r="B19" s="80"/>
      <c r="C19" s="83"/>
      <c r="D19" s="83"/>
      <c r="E19" s="83"/>
      <c r="F19" s="83"/>
      <c r="G19" s="83"/>
      <c r="H19" s="83"/>
    </row>
    <row r="20" spans="2:10">
      <c r="B20" s="80"/>
      <c r="C20" s="83"/>
      <c r="D20" s="83"/>
      <c r="E20" s="83"/>
      <c r="F20" s="83"/>
      <c r="G20" s="83"/>
      <c r="H20" s="83"/>
    </row>
    <row r="21" spans="2:10">
      <c r="B21" s="80"/>
      <c r="C21" s="83"/>
      <c r="D21" s="83"/>
      <c r="E21" s="83"/>
      <c r="F21" s="83"/>
      <c r="G21" s="83"/>
      <c r="H21" s="83"/>
    </row>
    <row r="22" spans="2:10">
      <c r="B22" s="80"/>
      <c r="C22" s="83"/>
      <c r="D22" s="83"/>
      <c r="E22" s="83"/>
      <c r="F22" s="83"/>
      <c r="G22" s="83"/>
      <c r="H22" s="83"/>
    </row>
    <row r="23" spans="2:10">
      <c r="B23" s="80"/>
      <c r="C23" s="83"/>
      <c r="D23" s="83"/>
      <c r="E23" s="83"/>
      <c r="F23" s="83"/>
      <c r="G23" s="83"/>
      <c r="H23" s="83"/>
    </row>
    <row r="24" spans="2:10">
      <c r="B24" s="80"/>
      <c r="C24" s="83"/>
      <c r="D24" s="83"/>
      <c r="E24" s="83"/>
      <c r="F24" s="83"/>
      <c r="G24" s="83"/>
      <c r="H24" s="83"/>
    </row>
    <row r="25" spans="2:10">
      <c r="B25" s="82"/>
      <c r="C25" s="83"/>
      <c r="D25" s="83"/>
      <c r="E25" s="83"/>
      <c r="F25" s="83"/>
      <c r="G25" s="83"/>
      <c r="H25" s="83"/>
    </row>
    <row r="26" spans="2:10">
      <c r="B26" s="82"/>
      <c r="C26" s="83"/>
      <c r="D26" s="83"/>
      <c r="E26" s="83"/>
      <c r="F26" s="83"/>
      <c r="G26" s="83"/>
      <c r="H26" s="83"/>
    </row>
    <row r="27" spans="2:10">
      <c r="B27" s="80"/>
      <c r="C27" s="83"/>
      <c r="D27" s="83"/>
      <c r="E27" s="83"/>
      <c r="F27" s="83"/>
      <c r="G27" s="83"/>
      <c r="H27" s="83"/>
    </row>
    <row r="28" spans="2:10">
      <c r="B28" s="80"/>
      <c r="C28" s="83"/>
      <c r="D28" s="83"/>
      <c r="E28" s="83"/>
      <c r="F28" s="83"/>
      <c r="G28" s="83"/>
      <c r="H28" s="83"/>
    </row>
    <row r="29" spans="2:10">
      <c r="B29" s="80"/>
      <c r="C29" s="83"/>
      <c r="D29" s="83"/>
      <c r="E29" s="83"/>
      <c r="F29" s="83"/>
      <c r="G29" s="83"/>
      <c r="H29" s="83"/>
    </row>
    <row r="30" spans="2:10">
      <c r="B30" s="80"/>
      <c r="C30" s="83"/>
      <c r="D30" s="83"/>
      <c r="E30" s="83"/>
      <c r="F30" s="83"/>
      <c r="G30" s="83"/>
      <c r="H30" s="83"/>
    </row>
    <row r="31" spans="2:10">
      <c r="B31" s="80"/>
      <c r="C31" s="83"/>
      <c r="D31" s="83"/>
      <c r="E31" s="83"/>
      <c r="F31" s="83"/>
      <c r="G31" s="83"/>
      <c r="H31" s="83"/>
    </row>
    <row r="32" spans="2:10">
      <c r="B32" s="80"/>
      <c r="C32" s="83"/>
      <c r="D32" s="83"/>
      <c r="E32" s="83"/>
      <c r="F32" s="83"/>
      <c r="G32" s="83"/>
      <c r="H32" s="83"/>
    </row>
    <row r="33" spans="2:8">
      <c r="B33" s="80"/>
      <c r="C33" s="83"/>
      <c r="D33" s="83"/>
      <c r="E33" s="83"/>
      <c r="F33" s="83"/>
      <c r="G33" s="83"/>
      <c r="H33" s="83"/>
    </row>
    <row r="34" spans="2:8">
      <c r="B34" s="84"/>
      <c r="C34" s="83"/>
      <c r="D34" s="83"/>
      <c r="E34" s="83"/>
      <c r="F34" s="83"/>
      <c r="G34" s="83"/>
      <c r="H34" s="83"/>
    </row>
    <row r="35" spans="2:8">
      <c r="B35" s="82"/>
      <c r="C35" s="83"/>
      <c r="D35" s="83"/>
      <c r="E35" s="83"/>
      <c r="F35" s="83"/>
      <c r="G35" s="83"/>
      <c r="H35" s="83"/>
    </row>
    <row r="36" spans="2:8">
      <c r="B36" s="80"/>
      <c r="C36" s="83"/>
      <c r="D36" s="83"/>
      <c r="E36" s="83"/>
      <c r="F36" s="83"/>
      <c r="G36" s="83"/>
      <c r="H36" s="83"/>
    </row>
    <row r="37" spans="2:8">
      <c r="B37" s="80"/>
      <c r="C37" s="83"/>
      <c r="D37" s="83"/>
      <c r="E37" s="83"/>
      <c r="F37" s="83"/>
      <c r="G37" s="83"/>
      <c r="H37" s="83"/>
    </row>
    <row r="38" spans="2:8">
      <c r="B38" s="80"/>
      <c r="C38" s="83"/>
      <c r="D38" s="83"/>
      <c r="E38" s="83"/>
      <c r="F38" s="83"/>
      <c r="G38" s="83"/>
      <c r="H38" s="83"/>
    </row>
    <row r="39" spans="2:8">
      <c r="B39" s="80"/>
      <c r="C39" s="83"/>
      <c r="D39" s="83"/>
      <c r="E39" s="83"/>
      <c r="F39" s="83"/>
      <c r="G39" s="83"/>
      <c r="H39" s="83"/>
    </row>
    <row r="40" spans="2:8">
      <c r="B40" s="80"/>
      <c r="C40" s="83"/>
      <c r="D40" s="83"/>
      <c r="E40" s="83"/>
      <c r="F40" s="83"/>
      <c r="G40" s="83"/>
      <c r="H40" s="83"/>
    </row>
    <row r="41" spans="2:8">
      <c r="B41" s="80"/>
      <c r="C41" s="83"/>
      <c r="D41" s="83"/>
      <c r="E41" s="83"/>
      <c r="F41" s="83"/>
      <c r="G41" s="83"/>
      <c r="H41" s="83"/>
    </row>
    <row r="42" spans="2:8">
      <c r="B42" s="85"/>
      <c r="C42" s="83"/>
      <c r="D42" s="83"/>
      <c r="E42" s="83"/>
      <c r="F42" s="83"/>
      <c r="G42" s="83"/>
      <c r="H42" s="83"/>
    </row>
    <row r="43" spans="2:8">
      <c r="B43" s="85"/>
      <c r="C43" s="83"/>
      <c r="D43" s="83"/>
      <c r="E43" s="83"/>
      <c r="F43" s="83"/>
      <c r="G43" s="83"/>
      <c r="H43" s="83"/>
    </row>
    <row r="44" spans="2:8">
      <c r="B44" s="86"/>
      <c r="C44" s="83"/>
      <c r="D44" s="83"/>
      <c r="E44" s="83"/>
      <c r="F44" s="83"/>
      <c r="G44" s="83"/>
      <c r="H44" s="83"/>
    </row>
    <row r="45" spans="2:8">
      <c r="C45" s="87"/>
      <c r="D45" s="87"/>
      <c r="E45" s="87"/>
      <c r="F45" s="87"/>
      <c r="G45" s="87"/>
      <c r="H45" s="87"/>
    </row>
    <row r="46" spans="2:8">
      <c r="B46" s="88"/>
      <c r="C46" s="89"/>
      <c r="D46" s="89"/>
      <c r="E46" s="89"/>
      <c r="F46" s="89"/>
      <c r="G46" s="89"/>
      <c r="H46" s="89"/>
    </row>
    <row r="47" spans="2:8">
      <c r="B47" s="90"/>
      <c r="C47" s="89"/>
      <c r="D47" s="89"/>
      <c r="E47" s="89"/>
      <c r="F47" s="89"/>
      <c r="G47" s="89"/>
      <c r="H47" s="89"/>
    </row>
    <row r="48" spans="2:8">
      <c r="B48" s="91"/>
      <c r="C48" s="89"/>
      <c r="D48" s="89"/>
      <c r="E48" s="89"/>
      <c r="F48" s="89"/>
      <c r="G48" s="89"/>
      <c r="H48" s="89"/>
    </row>
    <row r="49" spans="2:8">
      <c r="B49" s="91"/>
      <c r="C49" s="89"/>
      <c r="D49" s="89"/>
      <c r="E49" s="89"/>
      <c r="F49" s="89"/>
      <c r="G49" s="89"/>
      <c r="H49" s="89"/>
    </row>
    <row r="50" spans="2:8">
      <c r="B50" s="91"/>
      <c r="C50" s="89"/>
      <c r="D50" s="89"/>
      <c r="E50" s="89"/>
      <c r="F50" s="89"/>
      <c r="G50" s="89"/>
      <c r="H50" s="89"/>
    </row>
    <row r="51" spans="2:8">
      <c r="B51" s="90"/>
      <c r="C51" s="89"/>
      <c r="D51" s="89"/>
      <c r="E51" s="89"/>
      <c r="F51" s="89"/>
      <c r="G51" s="89"/>
      <c r="H51" s="89"/>
    </row>
    <row r="52" spans="2:8">
      <c r="B52" s="91"/>
      <c r="C52" s="89"/>
      <c r="D52" s="89"/>
      <c r="E52" s="89"/>
      <c r="F52" s="89"/>
      <c r="G52" s="89"/>
      <c r="H52" s="89"/>
    </row>
    <row r="53" spans="2:8">
      <c r="B53" s="86"/>
      <c r="C53" s="89"/>
      <c r="D53" s="89"/>
      <c r="E53" s="89"/>
      <c r="F53" s="89"/>
      <c r="G53" s="89"/>
      <c r="H53" s="89"/>
    </row>
    <row r="54" spans="2:8">
      <c r="B54" s="91"/>
      <c r="C54" s="89"/>
      <c r="D54" s="89"/>
      <c r="E54" s="89"/>
      <c r="F54" s="89"/>
      <c r="G54" s="89"/>
      <c r="H54" s="89"/>
    </row>
    <row r="55" spans="2:8">
      <c r="B55" s="91"/>
      <c r="C55" s="89"/>
      <c r="D55" s="89"/>
      <c r="E55" s="89"/>
      <c r="F55" s="89"/>
      <c r="G55" s="89"/>
      <c r="H55" s="89"/>
    </row>
    <row r="56" spans="2:8">
      <c r="B56" s="532"/>
      <c r="C56" s="532"/>
      <c r="D56" s="532"/>
      <c r="E56" s="532"/>
      <c r="F56" s="532"/>
      <c r="G56" s="532"/>
      <c r="H56" s="532"/>
    </row>
    <row r="57" spans="2:8">
      <c r="B57" s="91"/>
    </row>
    <row r="58" spans="2:8">
      <c r="B58" s="91"/>
    </row>
    <row r="61" spans="2:8">
      <c r="B61" s="533"/>
      <c r="C61" s="533"/>
      <c r="D61" s="533"/>
      <c r="E61" s="533"/>
      <c r="F61" s="533"/>
      <c r="G61" s="533"/>
      <c r="H61" s="533"/>
    </row>
    <row r="62" spans="2:8">
      <c r="B62" s="533"/>
      <c r="C62" s="533"/>
      <c r="D62" s="533"/>
      <c r="E62" s="533"/>
      <c r="F62" s="533"/>
      <c r="G62" s="533"/>
      <c r="H62" s="533"/>
    </row>
    <row r="63" spans="2:8">
      <c r="B63" s="533"/>
      <c r="C63" s="533"/>
      <c r="D63" s="533"/>
      <c r="E63" s="533"/>
      <c r="F63" s="533"/>
      <c r="G63" s="533"/>
      <c r="H63" s="533"/>
    </row>
    <row r="64" spans="2:8">
      <c r="B64" s="533"/>
      <c r="C64" s="533"/>
      <c r="D64" s="533"/>
      <c r="E64" s="533"/>
      <c r="F64" s="533"/>
      <c r="G64" s="533"/>
      <c r="H64" s="533"/>
    </row>
    <row r="65" spans="2:8">
      <c r="B65" s="533"/>
      <c r="C65" s="533"/>
      <c r="D65" s="533"/>
      <c r="E65" s="533"/>
      <c r="F65" s="533"/>
      <c r="G65" s="533"/>
      <c r="H65" s="533"/>
    </row>
    <row r="66" spans="2:8">
      <c r="B66" s="534"/>
      <c r="C66" s="535"/>
      <c r="D66" s="93"/>
      <c r="E66" s="533"/>
      <c r="F66" s="533"/>
      <c r="G66" s="533"/>
      <c r="H66" s="533"/>
    </row>
    <row r="67" spans="2:8">
      <c r="B67" s="534"/>
      <c r="C67" s="535"/>
      <c r="D67" s="93"/>
      <c r="E67" s="92"/>
      <c r="F67" s="92"/>
      <c r="G67" s="94"/>
      <c r="H67" s="94"/>
    </row>
    <row r="68" spans="2:8">
      <c r="B68" s="534"/>
      <c r="C68" s="535"/>
      <c r="D68" s="93"/>
      <c r="E68" s="92"/>
      <c r="F68" s="92"/>
      <c r="G68" s="95"/>
      <c r="H68" s="95"/>
    </row>
    <row r="69" spans="2:8">
      <c r="B69" s="90"/>
      <c r="C69" s="96"/>
      <c r="D69" s="96"/>
      <c r="E69" s="96"/>
      <c r="F69" s="96"/>
      <c r="G69" s="97"/>
      <c r="H69" s="97"/>
    </row>
    <row r="70" spans="2:8">
      <c r="C70" s="96"/>
      <c r="D70" s="96"/>
      <c r="E70" s="96"/>
      <c r="F70" s="96"/>
      <c r="G70" s="97"/>
      <c r="H70" s="97"/>
    </row>
    <row r="71" spans="2:8">
      <c r="C71" s="96"/>
      <c r="D71" s="96"/>
      <c r="E71" s="96"/>
      <c r="F71" s="96"/>
      <c r="G71" s="97"/>
      <c r="H71" s="97"/>
    </row>
    <row r="72" spans="2:8">
      <c r="C72" s="96"/>
      <c r="D72" s="96"/>
      <c r="E72" s="96"/>
      <c r="F72" s="96"/>
      <c r="G72" s="97"/>
      <c r="H72" s="97"/>
    </row>
    <row r="73" spans="2:8">
      <c r="C73" s="96"/>
      <c r="D73" s="96"/>
      <c r="E73" s="96"/>
      <c r="F73" s="96"/>
      <c r="G73" s="97"/>
      <c r="H73" s="97"/>
    </row>
    <row r="74" spans="2:8">
      <c r="C74" s="96"/>
      <c r="D74" s="96"/>
      <c r="E74" s="96"/>
      <c r="F74" s="96"/>
      <c r="G74" s="97"/>
      <c r="H74" s="97"/>
    </row>
    <row r="75" spans="2:8">
      <c r="B75" s="86"/>
      <c r="C75" s="96"/>
      <c r="D75" s="96"/>
      <c r="E75" s="96"/>
      <c r="F75" s="96"/>
      <c r="G75" s="97"/>
      <c r="H75" s="97"/>
    </row>
    <row r="76" spans="2:8">
      <c r="C76" s="96"/>
      <c r="D76" s="96"/>
      <c r="E76" s="96"/>
      <c r="F76" s="96"/>
      <c r="G76" s="97"/>
      <c r="H76" s="97"/>
    </row>
    <row r="77" spans="2:8">
      <c r="B77" s="90"/>
      <c r="C77" s="98"/>
      <c r="D77" s="98"/>
      <c r="E77" s="98"/>
      <c r="F77" s="98"/>
      <c r="G77" s="99"/>
      <c r="H77" s="99"/>
    </row>
    <row r="78" spans="2:8">
      <c r="C78" s="96"/>
      <c r="D78" s="96"/>
      <c r="E78" s="96"/>
      <c r="F78" s="96"/>
      <c r="G78" s="97"/>
      <c r="H78" s="97"/>
    </row>
    <row r="79" spans="2:8">
      <c r="C79" s="96"/>
      <c r="D79" s="96"/>
      <c r="E79" s="96"/>
      <c r="F79" s="96"/>
      <c r="G79" s="97"/>
      <c r="H79" s="97"/>
    </row>
    <row r="80" spans="2:8">
      <c r="C80" s="96"/>
      <c r="D80" s="96"/>
      <c r="E80" s="96"/>
      <c r="F80" s="96"/>
      <c r="G80" s="97"/>
      <c r="H80" s="97"/>
    </row>
    <row r="81" spans="2:8">
      <c r="C81" s="96"/>
      <c r="D81" s="96"/>
      <c r="E81" s="96"/>
      <c r="F81" s="96"/>
      <c r="G81" s="97"/>
      <c r="H81" s="97"/>
    </row>
    <row r="82" spans="2:8">
      <c r="C82" s="96"/>
      <c r="D82" s="96"/>
      <c r="E82" s="96"/>
      <c r="F82" s="96"/>
      <c r="G82" s="97"/>
      <c r="H82" s="97"/>
    </row>
    <row r="83" spans="2:8">
      <c r="C83" s="100"/>
      <c r="D83" s="100"/>
      <c r="E83" s="100"/>
      <c r="F83" s="100"/>
      <c r="G83" s="97"/>
      <c r="H83" s="97"/>
    </row>
    <row r="84" spans="2:8">
      <c r="B84" s="86"/>
      <c r="C84" s="100"/>
      <c r="D84" s="100"/>
      <c r="E84" s="100"/>
      <c r="F84" s="100"/>
      <c r="G84" s="97"/>
      <c r="H84" s="97"/>
    </row>
    <row r="85" spans="2:8">
      <c r="C85" s="100"/>
      <c r="D85" s="100"/>
      <c r="E85" s="100"/>
      <c r="F85" s="100"/>
      <c r="G85" s="97"/>
      <c r="H85" s="97"/>
    </row>
    <row r="86" spans="2:8">
      <c r="B86" s="101"/>
      <c r="C86" s="96"/>
      <c r="D86" s="96"/>
      <c r="E86" s="96"/>
      <c r="F86" s="96"/>
      <c r="G86" s="97"/>
      <c r="H86" s="97"/>
    </row>
    <row r="87" spans="2:8">
      <c r="C87" s="102"/>
      <c r="D87" s="102"/>
      <c r="E87" s="102"/>
      <c r="F87" s="102"/>
      <c r="G87" s="102"/>
      <c r="H87" s="102"/>
    </row>
    <row r="88" spans="2:8">
      <c r="C88" s="102"/>
      <c r="D88" s="102"/>
      <c r="E88" s="102"/>
      <c r="F88" s="102"/>
      <c r="G88" s="102"/>
      <c r="H88" s="102"/>
    </row>
    <row r="89" spans="2:8">
      <c r="C89" s="102"/>
      <c r="D89" s="102"/>
      <c r="E89" s="102"/>
      <c r="F89" s="102"/>
      <c r="G89" s="102"/>
      <c r="H89" s="102"/>
    </row>
    <row r="90" spans="2:8">
      <c r="C90" s="102"/>
      <c r="D90" s="102"/>
      <c r="E90" s="102"/>
      <c r="F90" s="102"/>
      <c r="G90" s="102"/>
      <c r="H90" s="102"/>
    </row>
    <row r="91" spans="2:8">
      <c r="C91" s="102"/>
      <c r="D91" s="102"/>
      <c r="E91" s="102"/>
      <c r="F91" s="102"/>
      <c r="G91" s="102"/>
      <c r="H91" s="102"/>
    </row>
    <row r="92" spans="2:8">
      <c r="C92" s="102"/>
      <c r="D92" s="102"/>
      <c r="E92" s="102"/>
      <c r="F92" s="102"/>
      <c r="G92" s="102"/>
      <c r="H92" s="102"/>
    </row>
    <row r="93" spans="2:8">
      <c r="C93" s="102"/>
      <c r="D93" s="102"/>
      <c r="E93" s="102"/>
      <c r="F93" s="102"/>
      <c r="G93" s="102"/>
      <c r="H93" s="102"/>
    </row>
    <row r="94" spans="2:8">
      <c r="B94" s="86"/>
      <c r="C94" s="100"/>
      <c r="D94" s="100"/>
      <c r="E94" s="100"/>
      <c r="F94" s="100"/>
      <c r="G94" s="100"/>
      <c r="H94" s="100"/>
    </row>
    <row r="95" spans="2:8">
      <c r="C95" s="100"/>
      <c r="D95" s="100"/>
      <c r="E95" s="100"/>
      <c r="F95" s="100"/>
      <c r="G95" s="100"/>
      <c r="H95" s="100"/>
    </row>
    <row r="96" spans="2:8">
      <c r="B96" s="516"/>
      <c r="C96" s="516"/>
      <c r="D96" s="516"/>
      <c r="E96" s="516"/>
      <c r="F96" s="516"/>
      <c r="G96" s="516"/>
      <c r="H96" s="516"/>
    </row>
    <row r="97" spans="2:8">
      <c r="B97" s="5"/>
    </row>
    <row r="98" spans="2:8">
      <c r="B98" s="533"/>
      <c r="C98" s="533"/>
      <c r="D98" s="533"/>
      <c r="E98" s="533"/>
      <c r="F98" s="533"/>
      <c r="G98" s="533"/>
      <c r="H98" s="533"/>
    </row>
    <row r="99" spans="2:8">
      <c r="B99" s="533"/>
      <c r="C99" s="533"/>
      <c r="D99" s="533"/>
      <c r="E99" s="533"/>
      <c r="F99" s="533"/>
      <c r="G99" s="533"/>
      <c r="H99" s="533"/>
    </row>
    <row r="100" spans="2:8">
      <c r="B100" s="533"/>
      <c r="C100" s="533"/>
      <c r="D100" s="533"/>
      <c r="E100" s="533"/>
      <c r="F100" s="533"/>
      <c r="G100" s="533"/>
      <c r="H100" s="533"/>
    </row>
    <row r="101" spans="2:8">
      <c r="B101" s="533"/>
      <c r="C101" s="533"/>
      <c r="D101" s="533"/>
      <c r="E101" s="533"/>
      <c r="F101" s="533"/>
      <c r="G101" s="533"/>
      <c r="H101" s="533"/>
    </row>
    <row r="102" spans="2:8">
      <c r="B102" s="534"/>
      <c r="C102" s="535"/>
      <c r="D102" s="93"/>
      <c r="E102" s="533"/>
      <c r="F102" s="533"/>
      <c r="G102" s="533"/>
      <c r="H102" s="533"/>
    </row>
    <row r="103" spans="2:8">
      <c r="B103" s="534"/>
      <c r="C103" s="535"/>
      <c r="D103" s="93"/>
      <c r="E103" s="92"/>
      <c r="F103" s="92"/>
      <c r="G103" s="94"/>
      <c r="H103" s="94"/>
    </row>
    <row r="104" spans="2:8">
      <c r="B104" s="534"/>
      <c r="C104" s="535"/>
      <c r="D104" s="93"/>
      <c r="E104" s="92"/>
      <c r="F104" s="92"/>
      <c r="G104" s="95"/>
      <c r="H104" s="95"/>
    </row>
    <row r="105" spans="2:8">
      <c r="B105" s="85"/>
      <c r="C105" s="103"/>
      <c r="D105" s="103"/>
      <c r="E105" s="103"/>
      <c r="F105" s="103"/>
      <c r="G105" s="103"/>
      <c r="H105" s="103"/>
    </row>
    <row r="106" spans="2:8">
      <c r="B106" s="90"/>
      <c r="C106" s="100"/>
      <c r="D106" s="100"/>
      <c r="E106" s="100"/>
      <c r="F106" s="100"/>
      <c r="G106" s="100"/>
      <c r="H106" s="100"/>
    </row>
    <row r="107" spans="2:8">
      <c r="B107" s="85"/>
      <c r="C107" s="100"/>
      <c r="D107" s="100"/>
      <c r="E107" s="100"/>
      <c r="F107" s="100"/>
      <c r="G107" s="100"/>
      <c r="H107" s="100"/>
    </row>
    <row r="108" spans="2:8">
      <c r="B108" s="85"/>
      <c r="C108" s="100"/>
      <c r="D108" s="100"/>
      <c r="E108" s="100"/>
      <c r="F108" s="100"/>
      <c r="G108" s="100"/>
      <c r="H108" s="100"/>
    </row>
    <row r="109" spans="2:8">
      <c r="B109" s="85"/>
      <c r="C109" s="100"/>
      <c r="D109" s="100"/>
      <c r="E109" s="100"/>
      <c r="F109" s="100"/>
      <c r="G109" s="100"/>
      <c r="H109" s="100"/>
    </row>
    <row r="110" spans="2:8">
      <c r="B110" s="85"/>
      <c r="C110" s="100"/>
      <c r="D110" s="100"/>
      <c r="E110" s="100"/>
      <c r="F110" s="100"/>
      <c r="G110" s="100"/>
      <c r="H110" s="100"/>
    </row>
    <row r="111" spans="2:8">
      <c r="B111" s="85"/>
      <c r="C111" s="100"/>
      <c r="D111" s="100"/>
      <c r="E111" s="100"/>
      <c r="F111" s="100"/>
      <c r="G111" s="100"/>
      <c r="H111" s="100"/>
    </row>
    <row r="112" spans="2:8">
      <c r="B112" s="86"/>
      <c r="C112" s="100"/>
      <c r="D112" s="100"/>
      <c r="E112" s="100"/>
      <c r="F112" s="100"/>
      <c r="G112" s="100"/>
      <c r="H112" s="100"/>
    </row>
    <row r="113" spans="2:8">
      <c r="B113" s="85"/>
      <c r="C113" s="100"/>
      <c r="D113" s="100"/>
      <c r="E113" s="100"/>
      <c r="F113" s="100"/>
      <c r="G113" s="100"/>
      <c r="H113" s="100"/>
    </row>
    <row r="114" spans="2:8">
      <c r="B114" s="90"/>
      <c r="C114" s="100"/>
      <c r="D114" s="100"/>
      <c r="E114" s="100"/>
      <c r="F114" s="100"/>
      <c r="G114" s="100"/>
      <c r="H114" s="100"/>
    </row>
    <row r="115" spans="2:8">
      <c r="B115" s="85"/>
      <c r="C115" s="100"/>
      <c r="D115" s="100"/>
      <c r="E115" s="100"/>
      <c r="F115" s="100"/>
      <c r="G115" s="100"/>
      <c r="H115" s="100"/>
    </row>
    <row r="116" spans="2:8">
      <c r="B116" s="85"/>
      <c r="C116" s="100"/>
      <c r="D116" s="100"/>
      <c r="E116" s="100"/>
      <c r="F116" s="100"/>
      <c r="G116" s="100"/>
      <c r="H116" s="100"/>
    </row>
    <row r="117" spans="2:8">
      <c r="B117" s="85"/>
      <c r="C117" s="100"/>
      <c r="D117" s="100"/>
      <c r="E117" s="100"/>
      <c r="F117" s="100"/>
      <c r="G117" s="100"/>
      <c r="H117" s="100"/>
    </row>
    <row r="118" spans="2:8">
      <c r="B118" s="85"/>
      <c r="C118" s="100"/>
      <c r="D118" s="100"/>
      <c r="E118" s="100"/>
      <c r="F118" s="100"/>
      <c r="G118" s="100"/>
      <c r="H118" s="100"/>
    </row>
    <row r="119" spans="2:8">
      <c r="B119" s="85"/>
      <c r="C119" s="100"/>
      <c r="D119" s="100"/>
      <c r="E119" s="100"/>
      <c r="F119" s="100"/>
      <c r="G119" s="100"/>
      <c r="H119" s="100"/>
    </row>
    <row r="120" spans="2:8">
      <c r="B120" s="85"/>
      <c r="C120" s="100"/>
      <c r="D120" s="100"/>
      <c r="E120" s="100"/>
      <c r="F120" s="100"/>
      <c r="G120" s="100"/>
      <c r="H120" s="100"/>
    </row>
    <row r="121" spans="2:8">
      <c r="B121" s="86"/>
      <c r="C121" s="100"/>
      <c r="D121" s="100"/>
      <c r="E121" s="100"/>
      <c r="F121" s="100"/>
      <c r="G121" s="100"/>
      <c r="H121" s="100"/>
    </row>
    <row r="122" spans="2:8">
      <c r="B122" s="85"/>
      <c r="C122" s="100"/>
      <c r="D122" s="100"/>
      <c r="E122" s="100"/>
      <c r="F122" s="100"/>
      <c r="G122" s="100"/>
      <c r="H122" s="100"/>
    </row>
    <row r="123" spans="2:8">
      <c r="B123" s="85"/>
      <c r="C123" s="100"/>
      <c r="D123" s="100"/>
      <c r="E123" s="100"/>
      <c r="F123" s="100"/>
      <c r="G123" s="100"/>
      <c r="H123" s="100"/>
    </row>
    <row r="124" spans="2:8">
      <c r="B124" s="90"/>
      <c r="C124" s="100"/>
      <c r="D124" s="100"/>
      <c r="E124" s="100"/>
      <c r="F124" s="100"/>
      <c r="G124" s="100"/>
      <c r="H124" s="100"/>
    </row>
    <row r="125" spans="2:8">
      <c r="B125" s="85"/>
      <c r="C125" s="100"/>
      <c r="D125" s="100"/>
      <c r="E125" s="100"/>
      <c r="F125" s="100"/>
      <c r="G125" s="100"/>
      <c r="H125" s="100"/>
    </row>
    <row r="126" spans="2:8">
      <c r="B126" s="85"/>
      <c r="C126" s="100"/>
      <c r="D126" s="100"/>
      <c r="E126" s="100"/>
      <c r="F126" s="100"/>
      <c r="G126" s="100"/>
      <c r="H126" s="100"/>
    </row>
    <row r="127" spans="2:8">
      <c r="B127" s="85"/>
      <c r="C127" s="100"/>
      <c r="D127" s="100"/>
      <c r="E127" s="100"/>
      <c r="F127" s="100"/>
      <c r="G127" s="100"/>
      <c r="H127" s="100"/>
    </row>
    <row r="128" spans="2:8">
      <c r="B128" s="85"/>
      <c r="C128" s="100"/>
      <c r="D128" s="100"/>
      <c r="E128" s="100"/>
      <c r="F128" s="100"/>
      <c r="G128" s="100"/>
      <c r="H128" s="100"/>
    </row>
    <row r="129" spans="2:8">
      <c r="B129" s="85"/>
      <c r="C129" s="100"/>
      <c r="D129" s="100"/>
      <c r="E129" s="100"/>
      <c r="F129" s="100"/>
      <c r="G129" s="100"/>
      <c r="H129" s="100"/>
    </row>
    <row r="130" spans="2:8">
      <c r="B130" s="86"/>
      <c r="C130" s="100"/>
      <c r="D130" s="100"/>
      <c r="E130" s="100"/>
      <c r="F130" s="100"/>
      <c r="G130" s="100"/>
      <c r="H130" s="100"/>
    </row>
    <row r="131" spans="2:8">
      <c r="B131" s="85"/>
      <c r="C131" s="100"/>
      <c r="D131" s="100"/>
      <c r="E131" s="100"/>
      <c r="F131" s="100"/>
      <c r="G131" s="100"/>
      <c r="H131" s="100"/>
    </row>
    <row r="132" spans="2:8">
      <c r="B132" s="90"/>
      <c r="C132" s="100"/>
      <c r="D132" s="100"/>
      <c r="E132" s="100"/>
      <c r="F132" s="100"/>
      <c r="G132" s="100"/>
      <c r="H132" s="100"/>
    </row>
    <row r="133" spans="2:8">
      <c r="B133" s="85"/>
      <c r="C133" s="100"/>
      <c r="D133" s="100"/>
      <c r="E133" s="100"/>
      <c r="F133" s="100"/>
      <c r="G133" s="100"/>
      <c r="H133" s="100"/>
    </row>
    <row r="134" spans="2:8">
      <c r="B134" s="85"/>
      <c r="C134" s="100"/>
      <c r="D134" s="100"/>
      <c r="E134" s="100"/>
      <c r="F134" s="100"/>
      <c r="G134" s="100"/>
      <c r="H134" s="100"/>
    </row>
    <row r="135" spans="2:8">
      <c r="B135" s="85"/>
      <c r="C135" s="100"/>
      <c r="D135" s="100"/>
      <c r="E135" s="100"/>
      <c r="F135" s="100"/>
      <c r="G135" s="97"/>
      <c r="H135" s="97"/>
    </row>
    <row r="136" spans="2:8">
      <c r="B136" s="85"/>
      <c r="C136" s="100"/>
      <c r="D136" s="100"/>
      <c r="E136" s="100"/>
      <c r="F136" s="100"/>
      <c r="G136" s="97"/>
      <c r="H136" s="97"/>
    </row>
    <row r="137" spans="2:8">
      <c r="B137" s="85"/>
      <c r="C137" s="100"/>
      <c r="D137" s="100"/>
      <c r="E137" s="100"/>
      <c r="F137" s="100"/>
      <c r="G137" s="97"/>
      <c r="H137" s="97"/>
    </row>
    <row r="138" spans="2:8">
      <c r="B138" s="85"/>
      <c r="C138" s="104"/>
      <c r="D138" s="104"/>
      <c r="E138" s="104"/>
      <c r="F138" s="100"/>
      <c r="G138" s="97"/>
      <c r="H138" s="97"/>
    </row>
    <row r="139" spans="2:8">
      <c r="B139" s="86"/>
      <c r="C139" s="104"/>
      <c r="D139" s="104"/>
      <c r="E139" s="104"/>
      <c r="F139" s="100"/>
      <c r="G139" s="97"/>
      <c r="H139" s="97"/>
    </row>
    <row r="140" spans="2:8">
      <c r="B140" s="105"/>
      <c r="C140" s="104"/>
      <c r="D140" s="104"/>
      <c r="E140" s="104"/>
      <c r="F140" s="100"/>
      <c r="G140" s="97"/>
      <c r="H140" s="97"/>
    </row>
    <row r="141" spans="2:8">
      <c r="B141" s="516"/>
      <c r="C141" s="516"/>
      <c r="D141" s="516"/>
      <c r="E141" s="516"/>
      <c r="F141" s="516"/>
      <c r="G141" s="516"/>
      <c r="H141" s="516"/>
    </row>
    <row r="142" spans="2:8">
      <c r="B142" s="5"/>
    </row>
    <row r="143" spans="2:8">
      <c r="B143" s="533"/>
      <c r="C143" s="533"/>
      <c r="D143" s="533"/>
      <c r="E143" s="533"/>
      <c r="F143" s="533"/>
      <c r="G143" s="533"/>
      <c r="H143" s="533"/>
    </row>
    <row r="144" spans="2:8">
      <c r="B144" s="533"/>
      <c r="C144" s="533"/>
      <c r="D144" s="533"/>
      <c r="E144" s="533"/>
      <c r="F144" s="533"/>
      <c r="G144" s="533"/>
      <c r="H144" s="533"/>
    </row>
    <row r="145" spans="2:8">
      <c r="B145" s="533"/>
      <c r="C145" s="533"/>
      <c r="D145" s="533"/>
      <c r="E145" s="533"/>
      <c r="F145" s="533"/>
      <c r="G145" s="533"/>
      <c r="H145" s="533"/>
    </row>
    <row r="146" spans="2:8">
      <c r="B146" s="533"/>
      <c r="C146" s="533"/>
      <c r="D146" s="533"/>
      <c r="E146" s="533"/>
      <c r="F146" s="533"/>
      <c r="G146" s="533"/>
      <c r="H146" s="533"/>
    </row>
    <row r="147" spans="2:8">
      <c r="B147" s="533"/>
      <c r="C147" s="533"/>
      <c r="D147" s="533"/>
      <c r="E147" s="533"/>
      <c r="F147" s="533"/>
      <c r="G147" s="533"/>
      <c r="H147" s="533"/>
    </row>
    <row r="148" spans="2:8">
      <c r="B148" s="5"/>
      <c r="C148" s="5"/>
      <c r="D148" s="5"/>
      <c r="E148" s="5"/>
      <c r="G148" s="97"/>
      <c r="H148" s="97"/>
    </row>
    <row r="149" spans="2:8">
      <c r="B149" s="534"/>
      <c r="C149" s="535"/>
      <c r="D149" s="93"/>
      <c r="E149" s="533"/>
      <c r="F149" s="533"/>
      <c r="G149" s="533"/>
      <c r="H149" s="533"/>
    </row>
    <row r="150" spans="2:8">
      <c r="B150" s="534"/>
      <c r="C150" s="535"/>
      <c r="D150" s="93"/>
      <c r="E150" s="92"/>
      <c r="F150" s="92"/>
      <c r="G150" s="94"/>
      <c r="H150" s="94"/>
    </row>
    <row r="151" spans="2:8">
      <c r="B151" s="534"/>
      <c r="C151" s="535"/>
      <c r="D151" s="93"/>
      <c r="E151" s="92"/>
      <c r="F151" s="92"/>
      <c r="G151" s="95"/>
      <c r="H151" s="95"/>
    </row>
    <row r="152" spans="2:8">
      <c r="B152" s="90"/>
      <c r="C152" s="96"/>
      <c r="D152" s="96"/>
      <c r="E152" s="96"/>
      <c r="F152" s="96"/>
      <c r="G152" s="97"/>
      <c r="H152" s="97"/>
    </row>
    <row r="153" spans="2:8">
      <c r="B153" s="90"/>
      <c r="C153" s="5"/>
      <c r="D153" s="5"/>
      <c r="E153" s="5"/>
      <c r="G153" s="97"/>
      <c r="H153" s="97"/>
    </row>
    <row r="154" spans="2:8">
      <c r="B154" s="85"/>
      <c r="C154" s="87"/>
      <c r="D154" s="87"/>
      <c r="E154" s="87"/>
      <c r="F154" s="87"/>
      <c r="G154" s="87"/>
      <c r="H154" s="87"/>
    </row>
    <row r="155" spans="2:8">
      <c r="B155" s="90"/>
      <c r="C155" s="102"/>
      <c r="D155" s="102"/>
      <c r="E155" s="102"/>
      <c r="F155" s="102"/>
      <c r="G155" s="102"/>
      <c r="H155" s="102"/>
    </row>
    <row r="156" spans="2:8">
      <c r="B156" s="85"/>
      <c r="C156" s="102"/>
      <c r="D156" s="102"/>
      <c r="E156" s="102"/>
      <c r="F156" s="102"/>
      <c r="G156" s="102"/>
      <c r="H156" s="102"/>
    </row>
    <row r="157" spans="2:8">
      <c r="B157" s="85"/>
      <c r="C157" s="102"/>
      <c r="D157" s="102"/>
      <c r="E157" s="102"/>
      <c r="F157" s="102"/>
      <c r="G157" s="102"/>
      <c r="H157" s="102"/>
    </row>
    <row r="158" spans="2:8">
      <c r="B158" s="85"/>
      <c r="C158" s="102"/>
      <c r="D158" s="102"/>
      <c r="E158" s="102"/>
      <c r="F158" s="102"/>
      <c r="G158" s="102"/>
      <c r="H158" s="102"/>
    </row>
    <row r="159" spans="2:8">
      <c r="B159" s="85"/>
      <c r="C159" s="102"/>
      <c r="D159" s="102"/>
      <c r="E159" s="102"/>
      <c r="F159" s="102"/>
      <c r="G159" s="102"/>
      <c r="H159" s="102"/>
    </row>
    <row r="160" spans="2:8">
      <c r="B160" s="85"/>
      <c r="C160" s="106"/>
      <c r="D160" s="106"/>
      <c r="E160" s="107"/>
      <c r="F160" s="106"/>
      <c r="G160" s="108"/>
      <c r="H160" s="108"/>
    </row>
    <row r="161" spans="2:8">
      <c r="B161" s="85"/>
      <c r="C161" s="108"/>
      <c r="D161" s="108"/>
      <c r="E161" s="108"/>
      <c r="F161" s="108"/>
      <c r="G161" s="108"/>
      <c r="H161" s="108"/>
    </row>
    <row r="162" spans="2:8">
      <c r="B162" s="86"/>
      <c r="C162" s="108"/>
      <c r="D162" s="108"/>
      <c r="E162" s="108"/>
      <c r="F162" s="108"/>
      <c r="G162" s="108"/>
      <c r="H162" s="108"/>
    </row>
    <row r="163" spans="2:8">
      <c r="B163" s="85"/>
      <c r="C163" s="108"/>
      <c r="D163" s="108"/>
      <c r="E163" s="108"/>
      <c r="F163" s="108"/>
      <c r="G163" s="108"/>
      <c r="H163" s="108"/>
    </row>
    <row r="164" spans="2:8">
      <c r="B164" s="5"/>
      <c r="C164" s="109"/>
      <c r="D164" s="109"/>
      <c r="E164" s="5"/>
      <c r="G164" s="97"/>
      <c r="H164" s="97"/>
    </row>
    <row r="165" spans="2:8">
      <c r="B165" s="90"/>
      <c r="C165" s="5"/>
      <c r="D165" s="5"/>
      <c r="E165" s="5"/>
      <c r="G165" s="97"/>
      <c r="H165" s="97"/>
    </row>
    <row r="166" spans="2:8">
      <c r="C166" s="102"/>
      <c r="D166" s="102"/>
      <c r="E166" s="102"/>
      <c r="F166" s="102"/>
      <c r="G166" s="102"/>
      <c r="H166" s="102"/>
    </row>
    <row r="167" spans="2:8">
      <c r="B167" s="90"/>
      <c r="C167" s="102"/>
      <c r="D167" s="102"/>
      <c r="E167" s="102"/>
      <c r="F167" s="102"/>
      <c r="G167" s="102"/>
      <c r="H167" s="102"/>
    </row>
    <row r="168" spans="2:8">
      <c r="B168" s="85"/>
      <c r="C168" s="102"/>
      <c r="D168" s="102"/>
      <c r="E168" s="102"/>
      <c r="F168" s="102"/>
      <c r="G168" s="102"/>
      <c r="H168" s="102"/>
    </row>
    <row r="169" spans="2:8">
      <c r="B169" s="85"/>
      <c r="C169" s="102"/>
      <c r="D169" s="102"/>
      <c r="E169" s="102"/>
      <c r="F169" s="102"/>
      <c r="G169" s="102"/>
      <c r="H169" s="102"/>
    </row>
    <row r="170" spans="2:8">
      <c r="B170" s="85"/>
      <c r="C170" s="102"/>
      <c r="D170" s="102"/>
      <c r="E170" s="102"/>
      <c r="F170" s="102"/>
      <c r="G170" s="102"/>
      <c r="H170" s="102"/>
    </row>
    <row r="171" spans="2:8">
      <c r="B171" s="85"/>
      <c r="C171" s="102"/>
      <c r="D171" s="102"/>
      <c r="E171" s="102"/>
      <c r="F171" s="102"/>
      <c r="G171" s="102"/>
      <c r="H171" s="102"/>
    </row>
    <row r="172" spans="2:8">
      <c r="B172" s="85"/>
      <c r="C172" s="102"/>
      <c r="D172" s="102"/>
      <c r="E172" s="102"/>
      <c r="F172" s="102"/>
      <c r="G172" s="102"/>
      <c r="H172" s="87"/>
    </row>
    <row r="173" spans="2:8">
      <c r="B173" s="85"/>
      <c r="C173" s="107"/>
      <c r="D173" s="107"/>
      <c r="E173" s="107"/>
      <c r="F173" s="107"/>
      <c r="G173" s="107"/>
      <c r="H173" s="107"/>
    </row>
    <row r="174" spans="2:8">
      <c r="B174" s="86"/>
      <c r="C174" s="110"/>
      <c r="D174" s="110"/>
      <c r="E174" s="110"/>
      <c r="F174" s="110"/>
      <c r="G174" s="110"/>
      <c r="H174" s="110"/>
    </row>
    <row r="175" spans="2:8">
      <c r="B175" s="105"/>
      <c r="C175" s="110"/>
      <c r="D175" s="110"/>
      <c r="E175" s="110"/>
      <c r="F175" s="110"/>
      <c r="G175" s="110"/>
      <c r="H175" s="110"/>
    </row>
    <row r="176" spans="2:8">
      <c r="B176" s="516"/>
      <c r="C176" s="516"/>
      <c r="D176" s="516"/>
      <c r="E176" s="516"/>
      <c r="F176" s="516"/>
      <c r="G176" s="516"/>
      <c r="H176" s="516"/>
    </row>
    <row r="177" spans="2:8">
      <c r="C177" s="111"/>
      <c r="D177" s="111"/>
      <c r="E177" s="111"/>
      <c r="F177" s="111"/>
      <c r="G177" s="111"/>
      <c r="H177" s="111"/>
    </row>
    <row r="178" spans="2:8">
      <c r="B178" s="112"/>
      <c r="C178" s="111"/>
      <c r="D178" s="111"/>
      <c r="E178" s="111"/>
      <c r="F178" s="111"/>
      <c r="G178" s="111"/>
      <c r="H178" s="111"/>
    </row>
    <row r="179" spans="2:8">
      <c r="C179" s="111"/>
      <c r="D179" s="111"/>
      <c r="E179" s="111"/>
      <c r="F179" s="111"/>
      <c r="G179" s="111"/>
      <c r="H179" s="111"/>
    </row>
    <row r="180" spans="2:8">
      <c r="B180" s="533"/>
      <c r="C180" s="533"/>
      <c r="D180" s="533"/>
      <c r="E180" s="533"/>
      <c r="F180" s="533"/>
      <c r="G180" s="533"/>
      <c r="H180" s="533"/>
    </row>
    <row r="181" spans="2:8">
      <c r="B181" s="533"/>
      <c r="C181" s="533"/>
      <c r="D181" s="533"/>
      <c r="E181" s="533"/>
      <c r="F181" s="533"/>
      <c r="G181" s="533"/>
      <c r="H181" s="533"/>
    </row>
    <row r="182" spans="2:8">
      <c r="B182" s="533"/>
      <c r="C182" s="533"/>
      <c r="D182" s="533"/>
      <c r="E182" s="533"/>
      <c r="F182" s="533"/>
      <c r="G182" s="533"/>
      <c r="H182" s="533"/>
    </row>
    <row r="183" spans="2:8">
      <c r="B183" s="533"/>
      <c r="C183" s="533"/>
      <c r="D183" s="533"/>
      <c r="E183" s="533"/>
      <c r="F183" s="533"/>
      <c r="G183" s="533"/>
      <c r="H183" s="533"/>
    </row>
    <row r="184" spans="2:8">
      <c r="B184" s="103"/>
      <c r="C184" s="103"/>
      <c r="D184" s="103"/>
      <c r="E184" s="103"/>
      <c r="F184" s="103"/>
      <c r="G184" s="103"/>
      <c r="H184" s="103"/>
    </row>
    <row r="185" spans="2:8">
      <c r="B185" s="534"/>
      <c r="C185" s="535"/>
      <c r="D185" s="93"/>
      <c r="E185" s="533"/>
      <c r="F185" s="533"/>
      <c r="G185" s="533"/>
      <c r="H185" s="533"/>
    </row>
    <row r="186" spans="2:8">
      <c r="B186" s="534"/>
      <c r="C186" s="535"/>
      <c r="D186" s="93"/>
      <c r="E186" s="92"/>
      <c r="F186" s="92"/>
      <c r="G186" s="92"/>
      <c r="H186" s="92"/>
    </row>
    <row r="187" spans="2:8">
      <c r="B187" s="534"/>
      <c r="C187" s="535"/>
      <c r="D187" s="93"/>
      <c r="E187" s="92"/>
      <c r="F187" s="92"/>
      <c r="G187" s="92"/>
      <c r="H187" s="92"/>
    </row>
    <row r="188" spans="2:8">
      <c r="G188" s="97"/>
      <c r="H188" s="97"/>
    </row>
    <row r="189" spans="2:8">
      <c r="B189" s="90"/>
      <c r="C189" s="96"/>
      <c r="D189" s="96"/>
      <c r="E189" s="96"/>
      <c r="F189" s="96"/>
      <c r="G189" s="97"/>
      <c r="H189" s="97"/>
    </row>
    <row r="190" spans="2:8">
      <c r="C190" s="96"/>
      <c r="D190" s="96"/>
      <c r="E190" s="96"/>
      <c r="F190" s="96"/>
      <c r="G190" s="97"/>
      <c r="H190" s="97"/>
    </row>
    <row r="191" spans="2:8">
      <c r="C191" s="96"/>
      <c r="D191" s="96"/>
      <c r="E191" s="96"/>
      <c r="F191" s="96"/>
      <c r="G191" s="97"/>
      <c r="H191" s="97"/>
    </row>
    <row r="192" spans="2:8">
      <c r="C192" s="96"/>
      <c r="D192" s="96"/>
      <c r="E192" s="96"/>
      <c r="F192" s="96"/>
      <c r="G192" s="97"/>
      <c r="H192" s="97"/>
    </row>
    <row r="193" spans="2:9">
      <c r="C193" s="96"/>
      <c r="D193" s="96"/>
      <c r="E193" s="96"/>
      <c r="F193" s="96"/>
      <c r="G193" s="97"/>
      <c r="H193" s="97"/>
    </row>
    <row r="194" spans="2:9">
      <c r="C194" s="96"/>
      <c r="D194" s="96"/>
      <c r="E194" s="96"/>
      <c r="F194" s="96"/>
      <c r="G194" s="97"/>
      <c r="H194" s="97"/>
    </row>
    <row r="195" spans="2:9">
      <c r="B195" s="86"/>
      <c r="C195" s="96"/>
      <c r="D195" s="96"/>
      <c r="E195" s="96"/>
      <c r="F195" s="96"/>
      <c r="G195" s="97"/>
      <c r="H195" s="97"/>
    </row>
    <row r="196" spans="2:9">
      <c r="C196" s="100"/>
      <c r="D196" s="100"/>
      <c r="E196" s="100"/>
      <c r="F196" s="100"/>
      <c r="G196" s="97"/>
      <c r="H196" s="97"/>
    </row>
    <row r="197" spans="2:9">
      <c r="C197" s="96"/>
      <c r="D197" s="96"/>
      <c r="E197" s="96"/>
      <c r="F197" s="96"/>
      <c r="G197" s="97"/>
      <c r="H197" s="97"/>
    </row>
    <row r="198" spans="2:9">
      <c r="C198" s="96"/>
      <c r="D198" s="96"/>
      <c r="E198" s="96"/>
      <c r="F198" s="96"/>
      <c r="G198" s="97"/>
      <c r="H198" s="97"/>
    </row>
    <row r="199" spans="2:9">
      <c r="B199" s="90"/>
      <c r="C199" s="96"/>
      <c r="D199" s="96"/>
      <c r="E199" s="96"/>
      <c r="F199" s="96"/>
      <c r="G199" s="97"/>
      <c r="H199" s="97"/>
    </row>
    <row r="200" spans="2:9">
      <c r="C200" s="96"/>
      <c r="D200" s="96"/>
      <c r="E200" s="96"/>
      <c r="F200" s="96"/>
      <c r="G200" s="97"/>
      <c r="H200" s="97"/>
    </row>
    <row r="201" spans="2:9">
      <c r="C201" s="96"/>
      <c r="D201" s="96"/>
      <c r="E201" s="96"/>
      <c r="F201" s="96"/>
      <c r="G201" s="97"/>
      <c r="H201" s="97"/>
    </row>
    <row r="202" spans="2:9">
      <c r="C202" s="96"/>
      <c r="D202" s="96"/>
      <c r="E202" s="96"/>
      <c r="F202" s="96"/>
      <c r="G202" s="97"/>
      <c r="H202" s="97"/>
    </row>
    <row r="203" spans="2:9">
      <c r="C203" s="96"/>
      <c r="D203" s="96"/>
      <c r="E203" s="96"/>
      <c r="F203" s="96"/>
      <c r="G203" s="97"/>
      <c r="H203" s="97"/>
    </row>
    <row r="204" spans="2:9">
      <c r="C204" s="96"/>
      <c r="D204" s="96"/>
      <c r="E204" s="96"/>
      <c r="F204" s="96"/>
      <c r="G204" s="97"/>
      <c r="H204" s="97"/>
    </row>
    <row r="205" spans="2:9">
      <c r="B205" s="86"/>
      <c r="C205" s="96"/>
      <c r="D205" s="96"/>
      <c r="E205" s="96"/>
      <c r="F205" s="96"/>
      <c r="G205" s="97"/>
      <c r="H205" s="97"/>
      <c r="I205" s="92"/>
    </row>
    <row r="206" spans="2:9">
      <c r="C206" s="100"/>
      <c r="D206" s="100"/>
      <c r="E206" s="100"/>
      <c r="F206" s="100"/>
      <c r="G206" s="97"/>
      <c r="H206" s="97"/>
      <c r="I206" s="92"/>
    </row>
    <row r="207" spans="2:9">
      <c r="C207" s="96"/>
      <c r="D207" s="96"/>
      <c r="E207" s="96"/>
      <c r="F207" s="96"/>
      <c r="G207" s="97"/>
      <c r="H207" s="97"/>
      <c r="I207" s="92"/>
    </row>
    <row r="208" spans="2:9">
      <c r="C208" s="96"/>
      <c r="D208" s="96"/>
      <c r="E208" s="96"/>
      <c r="F208" s="96"/>
      <c r="G208" s="97"/>
      <c r="H208" s="97"/>
      <c r="I208" s="92"/>
    </row>
    <row r="209" spans="2:9">
      <c r="B209" s="90"/>
      <c r="C209" s="96"/>
      <c r="D209" s="96"/>
      <c r="E209" s="96"/>
      <c r="F209" s="96"/>
      <c r="G209" s="97"/>
      <c r="H209" s="97"/>
    </row>
    <row r="210" spans="2:9">
      <c r="C210" s="96"/>
      <c r="D210" s="96"/>
      <c r="E210" s="96"/>
      <c r="F210" s="100"/>
      <c r="G210" s="97"/>
      <c r="H210" s="97"/>
      <c r="I210" s="92"/>
    </row>
    <row r="211" spans="2:9">
      <c r="C211" s="96"/>
      <c r="D211" s="96"/>
      <c r="E211" s="96"/>
      <c r="F211" s="96"/>
      <c r="G211" s="97"/>
      <c r="H211" s="97"/>
      <c r="I211" s="535"/>
    </row>
    <row r="212" spans="2:9">
      <c r="C212" s="96"/>
      <c r="D212" s="96"/>
      <c r="E212" s="96"/>
      <c r="F212" s="96"/>
      <c r="G212" s="97"/>
      <c r="H212" s="97"/>
      <c r="I212" s="535"/>
    </row>
    <row r="213" spans="2:9">
      <c r="C213" s="96"/>
      <c r="D213" s="96"/>
      <c r="E213" s="96"/>
      <c r="F213" s="96"/>
      <c r="G213" s="97"/>
      <c r="H213" s="97"/>
    </row>
    <row r="214" spans="2:9">
      <c r="C214" s="96"/>
      <c r="D214" s="96"/>
      <c r="E214" s="96"/>
      <c r="F214" s="96"/>
      <c r="G214" s="97"/>
      <c r="H214" s="97"/>
      <c r="I214" s="96"/>
    </row>
    <row r="215" spans="2:9">
      <c r="B215" s="86"/>
      <c r="C215" s="96"/>
      <c r="D215" s="96"/>
      <c r="E215" s="96"/>
      <c r="F215" s="96"/>
      <c r="G215" s="97"/>
      <c r="H215" s="97"/>
      <c r="I215" s="96"/>
    </row>
    <row r="216" spans="2:9">
      <c r="C216" s="100"/>
      <c r="D216" s="100"/>
      <c r="E216" s="100"/>
      <c r="F216" s="100"/>
      <c r="G216" s="97"/>
      <c r="H216" s="97"/>
      <c r="I216" s="100"/>
    </row>
    <row r="217" spans="2:9">
      <c r="B217" s="518"/>
      <c r="C217" s="518"/>
      <c r="D217" s="518"/>
      <c r="E217" s="518"/>
      <c r="F217" s="518"/>
      <c r="G217" s="518"/>
      <c r="H217" s="518"/>
      <c r="I217" s="100"/>
    </row>
    <row r="218" spans="2:9">
      <c r="I218" s="100"/>
    </row>
    <row r="219" spans="2:9">
      <c r="B219" s="533"/>
      <c r="C219" s="533"/>
      <c r="D219" s="533"/>
      <c r="E219" s="533"/>
      <c r="F219" s="533"/>
      <c r="G219" s="533"/>
      <c r="H219" s="533"/>
      <c r="I219" s="100"/>
    </row>
    <row r="220" spans="2:9">
      <c r="B220" s="533"/>
      <c r="C220" s="533"/>
      <c r="D220" s="533"/>
      <c r="E220" s="533"/>
      <c r="F220" s="533"/>
      <c r="G220" s="533"/>
      <c r="H220" s="533"/>
      <c r="I220" s="100"/>
    </row>
    <row r="221" spans="2:9">
      <c r="B221" s="533"/>
      <c r="C221" s="533"/>
      <c r="D221" s="533"/>
      <c r="E221" s="533"/>
      <c r="F221" s="533"/>
      <c r="G221" s="533"/>
      <c r="H221" s="533"/>
      <c r="I221" s="100"/>
    </row>
    <row r="222" spans="2:9">
      <c r="B222" s="533"/>
      <c r="C222" s="533"/>
      <c r="D222" s="533"/>
      <c r="E222" s="533"/>
      <c r="F222" s="533"/>
      <c r="G222" s="533"/>
      <c r="H222" s="533"/>
      <c r="I222" s="113"/>
    </row>
    <row r="223" spans="2:9">
      <c r="B223" s="5"/>
      <c r="C223" s="535"/>
      <c r="D223" s="93"/>
      <c r="E223" s="533"/>
      <c r="F223" s="533"/>
      <c r="G223" s="533"/>
      <c r="H223" s="533"/>
      <c r="I223" s="96"/>
    </row>
    <row r="224" spans="2:9">
      <c r="B224" s="5"/>
      <c r="C224" s="535"/>
      <c r="D224" s="93"/>
      <c r="E224" s="92"/>
      <c r="F224" s="92"/>
      <c r="G224" s="92"/>
      <c r="H224" s="92"/>
      <c r="I224" s="96"/>
    </row>
    <row r="225" spans="2:9">
      <c r="B225" s="5"/>
      <c r="C225" s="535"/>
      <c r="D225" s="93"/>
      <c r="E225" s="92"/>
      <c r="F225" s="92"/>
      <c r="G225" s="92"/>
      <c r="H225" s="92"/>
      <c r="I225" s="96"/>
    </row>
    <row r="226" spans="2:9">
      <c r="B226" s="5"/>
      <c r="C226" s="93"/>
      <c r="D226" s="93"/>
      <c r="E226" s="92"/>
      <c r="F226" s="92"/>
      <c r="G226" s="92"/>
      <c r="H226" s="92"/>
      <c r="I226" s="100"/>
    </row>
    <row r="227" spans="2:9">
      <c r="G227" s="97"/>
      <c r="H227" s="97"/>
      <c r="I227" s="100"/>
    </row>
    <row r="228" spans="2:9">
      <c r="B228" s="90"/>
      <c r="C228" s="96"/>
      <c r="D228" s="96"/>
      <c r="E228" s="96"/>
      <c r="F228" s="96"/>
      <c r="G228" s="97"/>
      <c r="H228" s="97"/>
      <c r="I228" s="100"/>
    </row>
    <row r="229" spans="2:9">
      <c r="C229" s="96"/>
      <c r="D229" s="96"/>
      <c r="E229" s="96"/>
      <c r="F229" s="96"/>
      <c r="G229" s="97"/>
      <c r="H229" s="97"/>
      <c r="I229" s="100"/>
    </row>
    <row r="230" spans="2:9">
      <c r="C230" s="96"/>
      <c r="D230" s="96"/>
      <c r="E230" s="96"/>
      <c r="F230" s="96"/>
      <c r="G230" s="97"/>
      <c r="H230" s="97"/>
      <c r="I230" s="100"/>
    </row>
    <row r="231" spans="2:9">
      <c r="C231" s="96"/>
      <c r="D231" s="96"/>
      <c r="E231" s="96"/>
      <c r="F231" s="96"/>
      <c r="G231" s="97"/>
      <c r="H231" s="97"/>
      <c r="I231" s="100"/>
    </row>
    <row r="232" spans="2:9">
      <c r="C232" s="96"/>
      <c r="D232" s="96"/>
      <c r="E232" s="96"/>
      <c r="F232" s="96"/>
      <c r="G232" s="97"/>
      <c r="H232" s="97"/>
      <c r="I232" s="96"/>
    </row>
    <row r="233" spans="2:9">
      <c r="C233" s="96"/>
      <c r="D233" s="96"/>
      <c r="E233" s="96"/>
      <c r="F233" s="96"/>
      <c r="G233" s="97"/>
      <c r="H233" s="97"/>
      <c r="I233" s="96"/>
    </row>
    <row r="234" spans="2:9">
      <c r="C234" s="96"/>
      <c r="D234" s="96"/>
      <c r="E234" s="96"/>
      <c r="F234" s="96"/>
      <c r="G234" s="97"/>
      <c r="H234" s="97"/>
      <c r="I234" s="96"/>
    </row>
    <row r="235" spans="2:9">
      <c r="C235" s="96"/>
      <c r="D235" s="96"/>
      <c r="E235" s="96"/>
      <c r="F235" s="96"/>
      <c r="G235" s="97"/>
      <c r="H235" s="97"/>
      <c r="I235" s="96"/>
    </row>
    <row r="236" spans="2:9">
      <c r="C236" s="96"/>
      <c r="D236" s="96"/>
      <c r="E236" s="96"/>
      <c r="F236" s="96"/>
      <c r="G236" s="97"/>
      <c r="H236" s="97"/>
      <c r="I236" s="100"/>
    </row>
    <row r="237" spans="2:9">
      <c r="C237" s="96"/>
      <c r="D237" s="96"/>
      <c r="E237" s="96"/>
      <c r="F237" s="96"/>
      <c r="G237" s="97"/>
      <c r="H237" s="97"/>
      <c r="I237" s="100"/>
    </row>
    <row r="238" spans="2:9">
      <c r="B238" s="90"/>
      <c r="C238" s="96"/>
      <c r="D238" s="96"/>
      <c r="E238" s="96"/>
      <c r="F238" s="96"/>
      <c r="G238" s="97"/>
      <c r="H238" s="97"/>
      <c r="I238" s="100"/>
    </row>
    <row r="239" spans="2:9">
      <c r="C239" s="96"/>
      <c r="D239" s="96"/>
      <c r="E239" s="96"/>
      <c r="F239" s="96"/>
      <c r="G239" s="97"/>
      <c r="H239" s="97"/>
      <c r="I239" s="100"/>
    </row>
    <row r="240" spans="2:9">
      <c r="C240" s="96"/>
      <c r="D240" s="96"/>
      <c r="E240" s="96"/>
      <c r="F240" s="96"/>
      <c r="G240" s="97"/>
      <c r="H240" s="97"/>
      <c r="I240" s="100"/>
    </row>
    <row r="241" spans="2:9">
      <c r="C241" s="96"/>
      <c r="D241" s="96"/>
      <c r="E241" s="96"/>
      <c r="F241" s="96"/>
      <c r="G241" s="97"/>
      <c r="H241" s="97"/>
      <c r="I241" s="100"/>
    </row>
    <row r="242" spans="2:9">
      <c r="C242" s="96"/>
      <c r="D242" s="96"/>
      <c r="E242" s="96"/>
      <c r="F242" s="96"/>
      <c r="G242" s="97"/>
      <c r="H242" s="97"/>
      <c r="I242" s="52"/>
    </row>
    <row r="243" spans="2:9">
      <c r="C243" s="96"/>
      <c r="D243" s="96"/>
      <c r="E243" s="96"/>
      <c r="F243" s="96"/>
      <c r="G243" s="97"/>
      <c r="H243" s="97"/>
    </row>
    <row r="244" spans="2:9">
      <c r="C244" s="96"/>
      <c r="D244" s="96"/>
      <c r="E244" s="96"/>
      <c r="F244" s="96"/>
      <c r="G244" s="97"/>
      <c r="H244" s="97"/>
    </row>
    <row r="245" spans="2:9">
      <c r="C245" s="96"/>
      <c r="D245" s="96"/>
      <c r="E245" s="96"/>
      <c r="F245" s="96"/>
      <c r="G245" s="97"/>
      <c r="H245" s="97"/>
    </row>
    <row r="246" spans="2:9">
      <c r="C246" s="96"/>
      <c r="D246" s="96"/>
      <c r="E246" s="96"/>
      <c r="F246" s="96"/>
      <c r="G246" s="97"/>
      <c r="H246" s="97"/>
    </row>
    <row r="247" spans="2:9">
      <c r="C247" s="96"/>
      <c r="D247" s="96"/>
      <c r="E247" s="96"/>
      <c r="F247" s="96"/>
      <c r="G247" s="97"/>
      <c r="H247" s="97"/>
    </row>
    <row r="248" spans="2:9">
      <c r="B248" s="90"/>
      <c r="C248" s="96"/>
      <c r="D248" s="96"/>
      <c r="E248" s="96"/>
      <c r="F248" s="96"/>
      <c r="G248" s="97"/>
      <c r="H248" s="97"/>
    </row>
    <row r="249" spans="2:9">
      <c r="C249" s="96"/>
      <c r="D249" s="96"/>
      <c r="E249" s="96"/>
      <c r="F249" s="100"/>
      <c r="G249" s="97"/>
      <c r="H249" s="97"/>
    </row>
    <row r="250" spans="2:9">
      <c r="C250" s="96"/>
      <c r="D250" s="96"/>
      <c r="E250" s="96"/>
      <c r="F250" s="96"/>
      <c r="G250" s="97"/>
      <c r="H250" s="97"/>
    </row>
    <row r="251" spans="2:9">
      <c r="C251" s="96"/>
      <c r="D251" s="96"/>
      <c r="E251" s="96"/>
      <c r="F251" s="96"/>
      <c r="G251" s="97"/>
      <c r="H251" s="97"/>
    </row>
    <row r="252" spans="2:9">
      <c r="C252" s="96"/>
      <c r="D252" s="96"/>
      <c r="E252" s="96"/>
      <c r="F252" s="96"/>
      <c r="G252" s="97"/>
      <c r="H252" s="97"/>
    </row>
    <row r="253" spans="2:9">
      <c r="C253" s="96"/>
      <c r="D253" s="96"/>
      <c r="E253" s="96"/>
      <c r="F253" s="96"/>
      <c r="G253" s="97"/>
      <c r="H253" s="97"/>
    </row>
    <row r="254" spans="2:9">
      <c r="C254" s="96"/>
      <c r="D254" s="96"/>
      <c r="E254" s="96"/>
      <c r="F254" s="96"/>
      <c r="G254" s="97"/>
      <c r="H254" s="97"/>
    </row>
    <row r="255" spans="2:9">
      <c r="C255" s="96"/>
      <c r="D255" s="96"/>
      <c r="E255" s="96"/>
      <c r="F255" s="96"/>
      <c r="G255" s="97"/>
      <c r="H255" s="97"/>
    </row>
    <row r="256" spans="2:9">
      <c r="B256" s="516"/>
      <c r="C256" s="516"/>
      <c r="D256" s="516"/>
      <c r="E256" s="516"/>
      <c r="F256" s="516"/>
      <c r="G256" s="516"/>
      <c r="H256" s="516"/>
    </row>
    <row r="257" spans="2:8">
      <c r="B257" s="5"/>
    </row>
    <row r="260" spans="2:8">
      <c r="B260" s="92"/>
      <c r="C260" s="92"/>
      <c r="D260" s="92"/>
      <c r="E260" s="92"/>
      <c r="F260" s="92"/>
      <c r="G260" s="92"/>
      <c r="H260" s="92"/>
    </row>
    <row r="261" spans="2:8">
      <c r="B261" s="92"/>
      <c r="C261" s="92"/>
      <c r="D261" s="92"/>
      <c r="E261" s="92"/>
      <c r="F261" s="92"/>
      <c r="G261" s="92"/>
      <c r="H261" s="92"/>
    </row>
    <row r="262" spans="2:8">
      <c r="B262" s="92"/>
      <c r="C262" s="92"/>
      <c r="D262" s="92"/>
      <c r="E262" s="92"/>
      <c r="F262" s="92"/>
      <c r="G262" s="92"/>
      <c r="H262" s="92"/>
    </row>
    <row r="263" spans="2:8">
      <c r="B263" s="92"/>
      <c r="C263" s="92"/>
      <c r="D263" s="92"/>
      <c r="E263" s="92"/>
      <c r="F263" s="92"/>
      <c r="G263" s="92"/>
      <c r="H263" s="92"/>
    </row>
    <row r="264" spans="2:8">
      <c r="B264" s="5"/>
      <c r="C264" s="5"/>
      <c r="D264" s="5"/>
      <c r="F264" s="97"/>
      <c r="G264" s="97"/>
      <c r="H264" s="97"/>
    </row>
    <row r="265" spans="2:8">
      <c r="B265" s="535"/>
      <c r="C265" s="92"/>
      <c r="D265" s="92"/>
      <c r="E265" s="92"/>
      <c r="F265" s="92"/>
      <c r="G265" s="92"/>
      <c r="H265" s="92"/>
    </row>
    <row r="266" spans="2:8">
      <c r="B266" s="535"/>
      <c r="C266" s="92"/>
      <c r="D266" s="92"/>
      <c r="E266" s="92"/>
      <c r="F266" s="94"/>
      <c r="G266" s="94"/>
      <c r="H266" s="94"/>
    </row>
    <row r="267" spans="2:8">
      <c r="B267" s="535"/>
      <c r="C267" s="92"/>
      <c r="D267" s="92"/>
      <c r="E267" s="92"/>
      <c r="F267" s="94"/>
      <c r="G267" s="94"/>
      <c r="H267" s="94"/>
    </row>
    <row r="268" spans="2:8">
      <c r="F268" s="97"/>
      <c r="G268" s="97"/>
      <c r="H268" s="97"/>
    </row>
    <row r="269" spans="2:8">
      <c r="B269" s="96"/>
      <c r="C269" s="96"/>
      <c r="D269" s="96"/>
      <c r="E269" s="96"/>
      <c r="F269" s="97"/>
      <c r="G269" s="97"/>
      <c r="H269" s="97"/>
    </row>
    <row r="270" spans="2:8">
      <c r="B270" s="96"/>
      <c r="C270" s="100"/>
      <c r="D270" s="100"/>
      <c r="E270" s="100"/>
      <c r="F270" s="97"/>
      <c r="G270" s="97"/>
      <c r="H270" s="97"/>
    </row>
    <row r="271" spans="2:8">
      <c r="B271" s="96"/>
      <c r="C271" s="96"/>
      <c r="D271" s="96"/>
      <c r="E271" s="96"/>
      <c r="F271" s="97"/>
      <c r="G271" s="97"/>
      <c r="H271" s="97"/>
    </row>
    <row r="272" spans="2:8">
      <c r="B272" s="96"/>
      <c r="C272" s="96"/>
      <c r="D272" s="96"/>
      <c r="E272" s="96"/>
      <c r="F272" s="97"/>
      <c r="G272" s="97"/>
      <c r="H272" s="97"/>
    </row>
    <row r="273" spans="2:8">
      <c r="B273" s="96"/>
      <c r="C273" s="96"/>
      <c r="D273" s="96"/>
      <c r="E273" s="96"/>
      <c r="F273" s="97"/>
      <c r="G273" s="97"/>
      <c r="H273" s="97"/>
    </row>
    <row r="274" spans="2:8">
      <c r="B274" s="96"/>
      <c r="C274" s="96"/>
      <c r="D274" s="96"/>
      <c r="E274" s="96"/>
      <c r="F274" s="97"/>
      <c r="G274" s="97"/>
      <c r="H274" s="97"/>
    </row>
    <row r="275" spans="2:8">
      <c r="B275" s="96"/>
      <c r="C275" s="100"/>
      <c r="D275" s="100"/>
      <c r="E275" s="100"/>
      <c r="F275" s="97"/>
      <c r="G275" s="97"/>
      <c r="H275" s="97"/>
    </row>
    <row r="276" spans="2:8">
      <c r="B276" s="96"/>
      <c r="C276" s="100"/>
      <c r="D276" s="100"/>
      <c r="E276" s="100"/>
      <c r="F276" s="97"/>
      <c r="G276" s="97"/>
      <c r="H276" s="97"/>
    </row>
    <row r="277" spans="2:8">
      <c r="B277" s="96"/>
      <c r="C277" s="96"/>
      <c r="D277" s="96"/>
      <c r="E277" s="96"/>
      <c r="F277" s="97"/>
      <c r="G277" s="97"/>
      <c r="H277" s="97"/>
    </row>
    <row r="278" spans="2:8">
      <c r="B278" s="96"/>
      <c r="C278" s="96"/>
      <c r="D278" s="96"/>
      <c r="E278" s="96"/>
      <c r="F278" s="97"/>
      <c r="G278" s="97"/>
      <c r="H278" s="97"/>
    </row>
    <row r="279" spans="2:8">
      <c r="B279" s="96"/>
      <c r="C279" s="96"/>
      <c r="D279" s="96"/>
      <c r="E279" s="96"/>
      <c r="F279" s="97"/>
      <c r="G279" s="97"/>
      <c r="H279" s="97"/>
    </row>
    <row r="280" spans="2:8">
      <c r="B280" s="96"/>
      <c r="C280" s="100"/>
      <c r="D280" s="100"/>
      <c r="E280" s="100"/>
      <c r="F280" s="97"/>
      <c r="G280" s="97"/>
      <c r="H280" s="97"/>
    </row>
    <row r="281" spans="2:8">
      <c r="B281" s="96"/>
      <c r="C281" s="96"/>
      <c r="D281" s="96"/>
      <c r="E281" s="96"/>
      <c r="F281" s="97"/>
      <c r="G281" s="97"/>
      <c r="H281" s="97"/>
    </row>
    <row r="282" spans="2:8">
      <c r="B282" s="96"/>
      <c r="C282" s="96"/>
      <c r="D282" s="96"/>
      <c r="E282" s="96"/>
      <c r="F282" s="97"/>
      <c r="G282" s="97"/>
      <c r="H282" s="97"/>
    </row>
    <row r="283" spans="2:8">
      <c r="B283" s="96"/>
      <c r="C283" s="96"/>
      <c r="D283" s="96"/>
      <c r="E283" s="96"/>
      <c r="F283" s="97"/>
      <c r="G283" s="97"/>
      <c r="H283" s="97"/>
    </row>
    <row r="284" spans="2:8">
      <c r="B284" s="96"/>
      <c r="C284" s="96"/>
      <c r="D284" s="96"/>
      <c r="E284" s="96"/>
      <c r="F284" s="97"/>
      <c r="G284" s="97"/>
      <c r="H284" s="97"/>
    </row>
    <row r="285" spans="2:8">
      <c r="B285" s="96"/>
      <c r="C285" s="96"/>
      <c r="D285" s="96"/>
      <c r="E285" s="96"/>
      <c r="F285" s="97"/>
      <c r="G285" s="97"/>
      <c r="H285" s="97"/>
    </row>
    <row r="286" spans="2:8">
      <c r="B286" s="96"/>
      <c r="C286" s="100"/>
      <c r="D286" s="100"/>
      <c r="E286" s="100"/>
      <c r="F286" s="97"/>
      <c r="G286" s="97"/>
      <c r="H286" s="97"/>
    </row>
    <row r="287" spans="2:8">
      <c r="B287" s="96"/>
      <c r="C287" s="96"/>
      <c r="D287" s="96"/>
      <c r="E287" s="96"/>
      <c r="F287" s="97"/>
      <c r="G287" s="97"/>
      <c r="H287" s="97"/>
    </row>
    <row r="288" spans="2:8">
      <c r="B288" s="96"/>
      <c r="C288" s="96"/>
      <c r="D288" s="96"/>
      <c r="E288" s="96"/>
      <c r="F288" s="97"/>
      <c r="G288" s="97"/>
      <c r="H288" s="97"/>
    </row>
    <row r="289" spans="2:8">
      <c r="B289" s="96"/>
      <c r="C289" s="96"/>
      <c r="D289" s="96"/>
      <c r="E289" s="96"/>
      <c r="F289" s="97"/>
      <c r="G289" s="97"/>
      <c r="H289" s="97"/>
    </row>
    <row r="290" spans="2:8">
      <c r="B290" s="96"/>
      <c r="C290" s="100"/>
      <c r="D290" s="100"/>
      <c r="E290" s="100"/>
      <c r="F290" s="97"/>
      <c r="G290" s="97"/>
      <c r="H290" s="97"/>
    </row>
    <row r="291" spans="2:8">
      <c r="B291" s="96"/>
      <c r="C291" s="96"/>
      <c r="D291" s="96"/>
      <c r="E291" s="96"/>
      <c r="F291" s="97"/>
      <c r="G291" s="97"/>
      <c r="H291" s="97"/>
    </row>
    <row r="292" spans="2:8">
      <c r="B292" s="96"/>
      <c r="C292" s="96"/>
      <c r="D292" s="96"/>
      <c r="E292" s="96"/>
      <c r="F292" s="97"/>
      <c r="G292" s="97"/>
      <c r="H292" s="97"/>
    </row>
    <row r="293" spans="2:8">
      <c r="B293" s="96"/>
      <c r="C293" s="96"/>
      <c r="D293" s="96"/>
      <c r="E293" s="96"/>
      <c r="F293" s="97"/>
      <c r="G293" s="97"/>
      <c r="H293" s="97"/>
    </row>
    <row r="294" spans="2:8">
      <c r="B294" s="96"/>
      <c r="C294" s="96"/>
      <c r="D294" s="96"/>
      <c r="E294" s="96"/>
      <c r="F294" s="97"/>
      <c r="G294" s="97"/>
      <c r="H294" s="97"/>
    </row>
    <row r="295" spans="2:8">
      <c r="B295" s="96"/>
      <c r="C295" s="96"/>
      <c r="D295" s="96"/>
      <c r="E295" s="96"/>
      <c r="F295" s="97"/>
      <c r="G295" s="97"/>
      <c r="H295" s="97"/>
    </row>
    <row r="296" spans="2:8">
      <c r="B296" s="96"/>
      <c r="C296" s="100"/>
      <c r="D296" s="100"/>
      <c r="E296" s="100"/>
      <c r="F296" s="97"/>
      <c r="G296" s="97"/>
      <c r="H296" s="97"/>
    </row>
    <row r="297" spans="2:8">
      <c r="B297" s="52"/>
      <c r="C297" s="52"/>
      <c r="D297" s="52"/>
      <c r="E297" s="52"/>
      <c r="F297" s="52"/>
      <c r="G297" s="52"/>
      <c r="H297" s="52"/>
    </row>
  </sheetData>
  <mergeCells count="51">
    <mergeCell ref="B3:J3"/>
    <mergeCell ref="B2:J2"/>
    <mergeCell ref="I211:I212"/>
    <mergeCell ref="B256:H256"/>
    <mergeCell ref="B265:B267"/>
    <mergeCell ref="B217:H217"/>
    <mergeCell ref="B219:H219"/>
    <mergeCell ref="B220:H220"/>
    <mergeCell ref="B221:H221"/>
    <mergeCell ref="B222:H222"/>
    <mergeCell ref="C223:C225"/>
    <mergeCell ref="E223:H223"/>
    <mergeCell ref="B176:H176"/>
    <mergeCell ref="B180:H180"/>
    <mergeCell ref="B181:H181"/>
    <mergeCell ref="B182:H182"/>
    <mergeCell ref="B183:H183"/>
    <mergeCell ref="B185:B187"/>
    <mergeCell ref="C185:C187"/>
    <mergeCell ref="B141:H141"/>
    <mergeCell ref="E185:H185"/>
    <mergeCell ref="B143:H143"/>
    <mergeCell ref="B144:H144"/>
    <mergeCell ref="B145:H145"/>
    <mergeCell ref="B146:H146"/>
    <mergeCell ref="B147:H147"/>
    <mergeCell ref="B149:B151"/>
    <mergeCell ref="C149:C151"/>
    <mergeCell ref="E149:H149"/>
    <mergeCell ref="B98:H98"/>
    <mergeCell ref="B99:H99"/>
    <mergeCell ref="B100:H100"/>
    <mergeCell ref="B101:H101"/>
    <mergeCell ref="B102:B104"/>
    <mergeCell ref="C102:C104"/>
    <mergeCell ref="E102:H102"/>
    <mergeCell ref="B65:H65"/>
    <mergeCell ref="B66:B68"/>
    <mergeCell ref="C66:C68"/>
    <mergeCell ref="E66:H66"/>
    <mergeCell ref="B96:H96"/>
    <mergeCell ref="B61:H61"/>
    <mergeCell ref="B14:J14"/>
    <mergeCell ref="B62:H62"/>
    <mergeCell ref="B63:H63"/>
    <mergeCell ref="B64:H64"/>
    <mergeCell ref="B4:B5"/>
    <mergeCell ref="C4:C5"/>
    <mergeCell ref="D4:D5"/>
    <mergeCell ref="E4:J4"/>
    <mergeCell ref="B56:H56"/>
  </mergeCells>
  <hyperlinks>
    <hyperlink ref="B3:J3" location="'Capitulo 3'!B29" display="Total de viviendas ocupadas por tipo de vivienda, según sistema de eliminación de basura. 2018." xr:uid="{00000000-0004-0000-18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1:M78"/>
  <sheetViews>
    <sheetView showGridLines="0" topLeftCell="C1" zoomScale="115" zoomScaleNormal="115" workbookViewId="0">
      <pane ySplit="5" topLeftCell="A6" activePane="bottomLeft" state="frozen"/>
      <selection pane="bottomLeft" activeCell="S14" sqref="S14"/>
    </sheetView>
  </sheetViews>
  <sheetFormatPr baseColWidth="10" defaultColWidth="11" defaultRowHeight="12.75"/>
  <cols>
    <col min="1" max="1" width="8.42578125" style="3" customWidth="1"/>
    <col min="2" max="2" width="20.28515625" style="3" customWidth="1"/>
    <col min="3" max="3" width="19.85546875" style="3" customWidth="1"/>
    <col min="4" max="4" width="17.42578125" style="3" bestFit="1" customWidth="1"/>
    <col min="5" max="5" width="17.5703125" style="3" customWidth="1"/>
    <col min="6" max="6" width="19.140625" style="3" customWidth="1"/>
    <col min="7" max="7" width="14.85546875" style="3" customWidth="1"/>
    <col min="8" max="8" width="14.42578125" style="3" bestFit="1" customWidth="1"/>
    <col min="9" max="11" width="11" style="3" customWidth="1"/>
    <col min="12" max="16384" width="11" style="3"/>
  </cols>
  <sheetData>
    <row r="1" spans="2:13" ht="15.75">
      <c r="B1" s="114"/>
      <c r="C1" s="10"/>
      <c r="D1" s="10"/>
      <c r="E1" s="10"/>
      <c r="F1" s="10"/>
      <c r="G1" s="10"/>
    </row>
    <row r="2" spans="2:13" ht="15">
      <c r="B2" s="462" t="s">
        <v>450</v>
      </c>
      <c r="C2" s="462"/>
      <c r="D2" s="462"/>
      <c r="E2" s="462"/>
      <c r="F2" s="462"/>
      <c r="G2" s="462"/>
    </row>
    <row r="3" spans="2:13" ht="43.5" customHeight="1" thickBot="1">
      <c r="B3" s="482" t="s">
        <v>668</v>
      </c>
      <c r="C3" s="482"/>
      <c r="D3" s="482"/>
      <c r="E3" s="482"/>
      <c r="F3" s="482"/>
      <c r="G3" s="482"/>
    </row>
    <row r="4" spans="2:13" ht="22.5" customHeight="1" thickTop="1" thickBot="1">
      <c r="B4" s="494" t="s">
        <v>651</v>
      </c>
      <c r="C4" s="494" t="s">
        <v>301</v>
      </c>
      <c r="D4" s="459" t="s">
        <v>300</v>
      </c>
      <c r="E4" s="460"/>
      <c r="F4" s="460"/>
      <c r="G4" s="460"/>
    </row>
    <row r="5" spans="2:13" ht="31.5" customHeight="1" thickTop="1" thickBot="1">
      <c r="B5" s="510"/>
      <c r="C5" s="510"/>
      <c r="D5" s="314" t="s">
        <v>278</v>
      </c>
      <c r="E5" s="314" t="s">
        <v>279</v>
      </c>
      <c r="F5" s="314" t="s">
        <v>1083</v>
      </c>
      <c r="G5" s="406" t="s">
        <v>162</v>
      </c>
    </row>
    <row r="6" spans="2:13" ht="16.5" thickTop="1" thickBot="1">
      <c r="B6" s="272" t="s">
        <v>103</v>
      </c>
      <c r="C6" s="252"/>
      <c r="D6" s="252"/>
      <c r="E6" s="252"/>
      <c r="F6" s="252"/>
      <c r="G6" s="252"/>
      <c r="H6" s="115"/>
    </row>
    <row r="7" spans="2:13" ht="16.5" thickTop="1" thickBot="1">
      <c r="B7" s="272"/>
      <c r="C7" s="252"/>
      <c r="D7" s="252"/>
      <c r="E7" s="252"/>
      <c r="F7" s="252"/>
      <c r="G7" s="252"/>
      <c r="H7" s="115"/>
    </row>
    <row r="8" spans="2:13" ht="14.25" thickTop="1" thickBot="1">
      <c r="B8" s="272" t="s">
        <v>121</v>
      </c>
      <c r="C8" s="413">
        <v>1540029</v>
      </c>
      <c r="D8" s="413">
        <v>355899</v>
      </c>
      <c r="E8" s="413">
        <f>1120918+38193</f>
        <v>1159111</v>
      </c>
      <c r="F8" s="413">
        <f>16818+2164</f>
        <v>18982</v>
      </c>
      <c r="G8" s="413">
        <v>6037</v>
      </c>
      <c r="H8" s="183"/>
    </row>
    <row r="9" spans="2:13" ht="14.25" thickTop="1" thickBot="1">
      <c r="B9" s="272" t="s">
        <v>122</v>
      </c>
      <c r="C9" s="413">
        <v>5003673</v>
      </c>
      <c r="D9" s="413">
        <v>1144141</v>
      </c>
      <c r="E9" s="413">
        <f>3645969+124703</f>
        <v>3770672</v>
      </c>
      <c r="F9" s="413">
        <f>62075+7770</f>
        <v>69845</v>
      </c>
      <c r="G9" s="413">
        <v>19015</v>
      </c>
      <c r="H9" s="183"/>
      <c r="I9" s="183"/>
      <c r="J9" s="183"/>
      <c r="K9" s="183"/>
      <c r="L9" s="183"/>
      <c r="M9" s="183"/>
    </row>
    <row r="10" spans="2:13" ht="14.25" thickTop="1" thickBot="1">
      <c r="B10" s="272"/>
      <c r="C10" s="413"/>
      <c r="D10" s="413"/>
      <c r="E10" s="413"/>
      <c r="F10" s="413"/>
      <c r="G10" s="413"/>
      <c r="H10" s="183"/>
      <c r="I10" s="183"/>
      <c r="J10" s="183"/>
      <c r="K10" s="183"/>
      <c r="L10" s="183"/>
      <c r="M10" s="183"/>
    </row>
    <row r="11" spans="2:13" ht="14.25" thickTop="1" thickBot="1">
      <c r="B11" s="272" t="s">
        <v>115</v>
      </c>
      <c r="C11" s="413"/>
      <c r="D11" s="413"/>
      <c r="E11" s="413"/>
      <c r="F11" s="413"/>
      <c r="G11" s="413"/>
      <c r="H11" s="183"/>
      <c r="I11" s="183"/>
      <c r="J11" s="183"/>
      <c r="K11" s="183"/>
      <c r="L11" s="183"/>
      <c r="M11" s="183"/>
    </row>
    <row r="12" spans="2:13" ht="14.25" thickTop="1" thickBot="1">
      <c r="B12" s="272"/>
      <c r="C12" s="413"/>
      <c r="D12" s="413"/>
      <c r="E12" s="413"/>
      <c r="F12" s="413"/>
      <c r="G12" s="413"/>
      <c r="H12" s="183"/>
      <c r="I12" s="183"/>
      <c r="J12" s="183"/>
      <c r="K12" s="183"/>
      <c r="L12" s="183"/>
      <c r="M12" s="183"/>
    </row>
    <row r="13" spans="2:13" ht="14.25" thickTop="1" thickBot="1">
      <c r="B13" s="272" t="s">
        <v>655</v>
      </c>
      <c r="C13" s="413"/>
      <c r="D13" s="413"/>
      <c r="E13" s="413"/>
      <c r="F13" s="413"/>
      <c r="G13" s="413"/>
      <c r="H13" s="183"/>
    </row>
    <row r="14" spans="2:13" ht="14.25" thickTop="1" thickBot="1">
      <c r="B14" s="272" t="s">
        <v>666</v>
      </c>
      <c r="C14" s="413">
        <v>949460</v>
      </c>
      <c r="D14" s="413">
        <v>300267</v>
      </c>
      <c r="E14" s="413">
        <f>610619+29109</f>
        <v>639728</v>
      </c>
      <c r="F14" s="413">
        <f>5082+1758</f>
        <v>6840</v>
      </c>
      <c r="G14" s="413">
        <v>2625</v>
      </c>
      <c r="H14" s="183"/>
    </row>
    <row r="15" spans="2:13" ht="14.25" thickTop="1" thickBot="1">
      <c r="B15" s="272" t="s">
        <v>667</v>
      </c>
      <c r="C15" s="413">
        <v>3102787</v>
      </c>
      <c r="D15" s="413">
        <v>960467</v>
      </c>
      <c r="E15" s="413">
        <f>2014201+95404</f>
        <v>2109605</v>
      </c>
      <c r="F15" s="413">
        <f>18583+6429</f>
        <v>25012</v>
      </c>
      <c r="G15" s="413">
        <v>7703</v>
      </c>
      <c r="H15" s="183"/>
      <c r="I15" s="183"/>
      <c r="J15" s="183"/>
    </row>
    <row r="16" spans="2:13" ht="14.25" thickTop="1" thickBot="1">
      <c r="B16" s="272"/>
      <c r="C16" s="413"/>
      <c r="D16" s="413"/>
      <c r="E16" s="413"/>
      <c r="F16" s="413"/>
      <c r="G16" s="413"/>
      <c r="H16" s="183"/>
      <c r="I16" s="183"/>
      <c r="J16" s="183"/>
    </row>
    <row r="17" spans="2:8" ht="14.25" thickTop="1" thickBot="1">
      <c r="B17" s="272" t="s">
        <v>658</v>
      </c>
      <c r="C17" s="413"/>
      <c r="D17" s="413"/>
      <c r="E17" s="413"/>
      <c r="F17" s="413"/>
      <c r="G17" s="413"/>
      <c r="H17" s="183"/>
    </row>
    <row r="18" spans="2:8" ht="14.25" thickTop="1" thickBot="1">
      <c r="B18" s="272" t="s">
        <v>666</v>
      </c>
      <c r="C18" s="413">
        <v>118218</v>
      </c>
      <c r="D18" s="413">
        <v>12111</v>
      </c>
      <c r="E18" s="413">
        <f>100489+1246</f>
        <v>101735</v>
      </c>
      <c r="F18" s="413">
        <v>3781</v>
      </c>
      <c r="G18" s="413">
        <v>591</v>
      </c>
      <c r="H18" s="183"/>
    </row>
    <row r="19" spans="2:8" ht="14.25" thickTop="1" thickBot="1">
      <c r="B19" s="272" t="s">
        <v>667</v>
      </c>
      <c r="C19" s="413">
        <v>382913</v>
      </c>
      <c r="D19" s="413">
        <v>35701</v>
      </c>
      <c r="E19" s="413">
        <f>328428+3480</f>
        <v>331908</v>
      </c>
      <c r="F19" s="413">
        <v>13328</v>
      </c>
      <c r="G19" s="413">
        <v>1976</v>
      </c>
      <c r="H19" s="183"/>
    </row>
    <row r="20" spans="2:8" ht="14.25" thickTop="1" thickBot="1">
      <c r="B20" s="272"/>
      <c r="C20" s="413"/>
      <c r="D20" s="413"/>
      <c r="E20" s="413"/>
      <c r="F20" s="413"/>
      <c r="G20" s="413"/>
      <c r="H20" s="183"/>
    </row>
    <row r="21" spans="2:8" ht="14.25" thickTop="1" thickBot="1">
      <c r="B21" s="272" t="s">
        <v>659</v>
      </c>
      <c r="C21" s="413"/>
      <c r="D21" s="413"/>
      <c r="E21" s="413"/>
      <c r="F21" s="413"/>
      <c r="G21" s="413"/>
      <c r="H21" s="183"/>
    </row>
    <row r="22" spans="2:8" ht="14.25" thickTop="1" thickBot="1">
      <c r="B22" s="272" t="s">
        <v>666</v>
      </c>
      <c r="C22" s="413">
        <v>92270</v>
      </c>
      <c r="D22" s="413">
        <v>11845</v>
      </c>
      <c r="E22" s="413">
        <f>75256+3492</f>
        <v>78748</v>
      </c>
      <c r="F22" s="413">
        <f>1141+283</f>
        <v>1424</v>
      </c>
      <c r="G22" s="413">
        <v>253</v>
      </c>
      <c r="H22" s="183"/>
    </row>
    <row r="23" spans="2:8" ht="14.25" thickTop="1" thickBot="1">
      <c r="B23" s="272" t="s">
        <v>667</v>
      </c>
      <c r="C23" s="413">
        <v>293808</v>
      </c>
      <c r="D23" s="413">
        <v>40041</v>
      </c>
      <c r="E23" s="413">
        <f>237651+11429</f>
        <v>249080</v>
      </c>
      <c r="F23" s="413">
        <f>3457+849</f>
        <v>4306</v>
      </c>
      <c r="G23" s="413">
        <v>381</v>
      </c>
      <c r="H23" s="183"/>
    </row>
    <row r="24" spans="2:8" ht="14.25" thickTop="1" thickBot="1">
      <c r="B24" s="272"/>
      <c r="C24" s="413"/>
      <c r="D24" s="413"/>
      <c r="E24" s="413"/>
      <c r="F24" s="413"/>
      <c r="G24" s="413"/>
      <c r="H24" s="183"/>
    </row>
    <row r="25" spans="2:8" ht="14.25" thickTop="1" thickBot="1">
      <c r="B25" s="272" t="s">
        <v>661</v>
      </c>
      <c r="C25" s="413"/>
      <c r="D25" s="413"/>
      <c r="E25" s="413"/>
      <c r="F25" s="413"/>
      <c r="G25" s="413"/>
      <c r="H25" s="183"/>
    </row>
    <row r="26" spans="2:8" ht="14.25" thickTop="1" thickBot="1">
      <c r="B26" s="272" t="s">
        <v>666</v>
      </c>
      <c r="C26" s="413">
        <v>123448</v>
      </c>
      <c r="D26" s="413">
        <v>8962</v>
      </c>
      <c r="E26" s="413">
        <f>112275+580</f>
        <v>112855</v>
      </c>
      <c r="F26" s="413">
        <v>1051</v>
      </c>
      <c r="G26" s="413">
        <v>580</v>
      </c>
      <c r="H26" s="183"/>
    </row>
    <row r="27" spans="2:8" ht="14.25" thickTop="1" thickBot="1">
      <c r="B27" s="272" t="s">
        <v>667</v>
      </c>
      <c r="C27" s="413">
        <v>366414</v>
      </c>
      <c r="D27" s="413">
        <v>26180</v>
      </c>
      <c r="E27" s="413">
        <f>333736+1608</f>
        <v>335344</v>
      </c>
      <c r="F27" s="413">
        <v>3579</v>
      </c>
      <c r="G27" s="413">
        <v>1311</v>
      </c>
      <c r="H27" s="183"/>
    </row>
    <row r="28" spans="2:8" ht="14.25" thickTop="1" thickBot="1">
      <c r="B28" s="272"/>
      <c r="C28" s="413"/>
      <c r="D28" s="413"/>
      <c r="E28" s="413"/>
      <c r="F28" s="413"/>
      <c r="G28" s="413"/>
      <c r="H28" s="183"/>
    </row>
    <row r="29" spans="2:8" ht="14.25" thickTop="1" thickBot="1">
      <c r="B29" s="272" t="s">
        <v>662</v>
      </c>
      <c r="C29" s="413"/>
      <c r="D29" s="413"/>
      <c r="E29" s="413"/>
      <c r="F29" s="413"/>
      <c r="G29" s="413"/>
      <c r="H29" s="183"/>
    </row>
    <row r="30" spans="2:8" ht="14.25" thickTop="1" thickBot="1">
      <c r="B30" s="272" t="s">
        <v>666</v>
      </c>
      <c r="C30" s="413">
        <v>137466</v>
      </c>
      <c r="D30" s="413">
        <v>14244</v>
      </c>
      <c r="E30" s="413">
        <f>118036+399</f>
        <v>118435</v>
      </c>
      <c r="F30" s="413">
        <f>3587+123</f>
        <v>3710</v>
      </c>
      <c r="G30" s="413">
        <v>1077</v>
      </c>
      <c r="H30" s="183"/>
    </row>
    <row r="31" spans="2:8" ht="14.25" thickTop="1" thickBot="1">
      <c r="B31" s="272" t="s">
        <v>667</v>
      </c>
      <c r="C31" s="413">
        <v>450258</v>
      </c>
      <c r="D31" s="413">
        <v>50794</v>
      </c>
      <c r="E31" s="413">
        <f>380796+1164</f>
        <v>381960</v>
      </c>
      <c r="F31" s="413">
        <f>13379+492</f>
        <v>13871</v>
      </c>
      <c r="G31" s="413">
        <v>3633</v>
      </c>
      <c r="H31" s="183"/>
    </row>
    <row r="32" spans="2:8" ht="14.25" thickTop="1" thickBot="1">
      <c r="B32" s="272"/>
      <c r="C32" s="413"/>
      <c r="D32" s="413"/>
      <c r="E32" s="413"/>
      <c r="F32" s="413"/>
      <c r="G32" s="413"/>
      <c r="H32" s="183"/>
    </row>
    <row r="33" spans="2:10" ht="14.25" thickTop="1" thickBot="1">
      <c r="B33" s="272" t="s">
        <v>663</v>
      </c>
      <c r="C33" s="413"/>
      <c r="D33" s="413"/>
      <c r="E33" s="413"/>
      <c r="F33" s="413"/>
      <c r="G33" s="413"/>
      <c r="H33" s="183"/>
    </row>
    <row r="34" spans="2:10" ht="14.25" thickTop="1" thickBot="1">
      <c r="B34" s="272" t="s">
        <v>666</v>
      </c>
      <c r="C34" s="413">
        <v>119167</v>
      </c>
      <c r="D34" s="413">
        <v>8470</v>
      </c>
      <c r="E34" s="413">
        <f>104243+3367</f>
        <v>107610</v>
      </c>
      <c r="F34" s="413">
        <v>2176</v>
      </c>
      <c r="G34" s="413">
        <v>911</v>
      </c>
      <c r="H34" s="183"/>
    </row>
    <row r="35" spans="2:10" ht="14.25" thickTop="1" thickBot="1">
      <c r="B35" s="272" t="s">
        <v>667</v>
      </c>
      <c r="C35" s="413">
        <v>407493</v>
      </c>
      <c r="D35" s="413">
        <v>30958</v>
      </c>
      <c r="E35" s="413">
        <f>351157+11618</f>
        <v>362775</v>
      </c>
      <c r="F35" s="413">
        <v>9749</v>
      </c>
      <c r="G35" s="413">
        <v>4011</v>
      </c>
      <c r="H35" s="183"/>
    </row>
    <row r="36" spans="2:10" ht="13.5" thickTop="1">
      <c r="B36" s="297"/>
      <c r="C36" s="412"/>
      <c r="D36" s="412"/>
      <c r="E36" s="412"/>
      <c r="F36" s="412"/>
      <c r="G36" s="412"/>
      <c r="H36" s="183"/>
    </row>
    <row r="37" spans="2:10">
      <c r="B37" s="297" t="s">
        <v>607</v>
      </c>
      <c r="C37" s="412"/>
      <c r="D37" s="412"/>
      <c r="E37" s="412"/>
      <c r="F37" s="412"/>
      <c r="G37" s="412"/>
      <c r="H37" s="183"/>
    </row>
    <row r="38" spans="2:10">
      <c r="B38" s="297"/>
      <c r="C38" s="412"/>
      <c r="D38" s="412"/>
      <c r="E38" s="412"/>
      <c r="F38" s="412"/>
      <c r="G38" s="412"/>
      <c r="H38" s="183"/>
    </row>
    <row r="39" spans="2:10" ht="13.5" thickBot="1">
      <c r="B39" s="297" t="s">
        <v>693</v>
      </c>
      <c r="C39" s="412"/>
      <c r="D39" s="412"/>
      <c r="E39" s="412"/>
      <c r="F39" s="412"/>
      <c r="G39" s="412"/>
      <c r="H39" s="183"/>
    </row>
    <row r="40" spans="2:10" ht="14.25" thickTop="1" thickBot="1">
      <c r="B40" s="272" t="s">
        <v>666</v>
      </c>
      <c r="C40" s="412">
        <f>SUM(D40:G40)</f>
        <v>1113322</v>
      </c>
      <c r="D40" s="413">
        <v>329681</v>
      </c>
      <c r="E40" s="413">
        <v>773426</v>
      </c>
      <c r="F40" s="413">
        <v>7463</v>
      </c>
      <c r="G40" s="413">
        <v>2752</v>
      </c>
      <c r="H40" s="183"/>
    </row>
    <row r="41" spans="2:10" ht="14.25" thickTop="1" thickBot="1">
      <c r="B41" s="272" t="s">
        <v>667</v>
      </c>
      <c r="C41" s="412">
        <f>SUM(D41:G41)</f>
        <v>3630938</v>
      </c>
      <c r="D41" s="413">
        <v>1057248</v>
      </c>
      <c r="E41" s="413">
        <v>2537315</v>
      </c>
      <c r="F41" s="413">
        <v>27217</v>
      </c>
      <c r="G41" s="413">
        <v>9158</v>
      </c>
      <c r="H41" s="183"/>
    </row>
    <row r="42" spans="2:10" ht="13.5" thickTop="1">
      <c r="B42" s="297"/>
      <c r="C42" s="412"/>
      <c r="D42" s="412"/>
      <c r="E42" s="412"/>
      <c r="F42" s="412"/>
      <c r="G42" s="412"/>
      <c r="H42" s="183"/>
    </row>
    <row r="43" spans="2:10" ht="13.5" thickBot="1">
      <c r="B43" s="297" t="s">
        <v>664</v>
      </c>
      <c r="C43" s="412"/>
      <c r="D43" s="412"/>
      <c r="E43" s="412"/>
      <c r="F43" s="412"/>
      <c r="G43" s="412"/>
      <c r="H43" s="183"/>
    </row>
    <row r="44" spans="2:10" ht="14.25" thickTop="1" thickBot="1">
      <c r="B44" s="272" t="s">
        <v>666</v>
      </c>
      <c r="C44" s="412">
        <f>SUM(D44:G44)</f>
        <v>426707</v>
      </c>
      <c r="D44" s="413">
        <v>26218</v>
      </c>
      <c r="E44" s="413">
        <v>385685</v>
      </c>
      <c r="F44" s="413">
        <v>11519</v>
      </c>
      <c r="G44" s="413">
        <v>3285</v>
      </c>
      <c r="H44" s="183"/>
    </row>
    <row r="45" spans="2:10" ht="14.25" thickTop="1" thickBot="1">
      <c r="B45" s="272" t="s">
        <v>667</v>
      </c>
      <c r="C45" s="412">
        <f>SUM(D45:G45)</f>
        <v>1372735</v>
      </c>
      <c r="D45" s="413">
        <v>86893</v>
      </c>
      <c r="E45" s="413">
        <v>1233357</v>
      </c>
      <c r="F45" s="413">
        <v>42628</v>
      </c>
      <c r="G45" s="413">
        <v>9857</v>
      </c>
      <c r="H45" s="183"/>
    </row>
    <row r="46" spans="2:10" ht="16.5" thickTop="1" thickBot="1">
      <c r="B46" s="307"/>
      <c r="C46" s="326"/>
      <c r="D46" s="326"/>
      <c r="E46" s="326"/>
      <c r="F46" s="326"/>
      <c r="G46" s="326"/>
      <c r="H46" s="115"/>
    </row>
    <row r="47" spans="2:10" ht="14.25" thickTop="1" thickBot="1">
      <c r="B47" s="469" t="s">
        <v>513</v>
      </c>
      <c r="C47" s="470"/>
      <c r="D47" s="470"/>
      <c r="E47" s="470"/>
      <c r="F47" s="470"/>
      <c r="G47" s="470"/>
      <c r="H47" s="78"/>
      <c r="I47" s="78"/>
      <c r="J47" s="78"/>
    </row>
    <row r="48" spans="2:10" ht="15.75" thickTop="1">
      <c r="B48" s="475" t="s">
        <v>1082</v>
      </c>
      <c r="C48" s="475"/>
      <c r="D48" s="475"/>
      <c r="E48" s="475"/>
      <c r="F48" s="475"/>
      <c r="G48" s="475"/>
      <c r="H48" s="6"/>
    </row>
    <row r="49" spans="2:8" ht="15">
      <c r="H49" s="6"/>
    </row>
    <row r="50" spans="2:8" ht="19.5" customHeight="1">
      <c r="C50" s="183"/>
      <c r="D50" s="183"/>
      <c r="E50" s="183"/>
      <c r="F50" s="183"/>
      <c r="G50" s="183"/>
    </row>
    <row r="51" spans="2:8" ht="28.5" customHeight="1"/>
    <row r="52" spans="2:8" ht="19.5" customHeight="1"/>
    <row r="53" spans="2:8" ht="14.25">
      <c r="B53" s="536"/>
      <c r="C53" s="537"/>
      <c r="D53" s="537"/>
      <c r="E53" s="537"/>
    </row>
    <row r="54" spans="2:8">
      <c r="B54" s="187"/>
      <c r="C54" s="187"/>
      <c r="D54" s="187"/>
      <c r="E54" s="187"/>
      <c r="G54" s="187"/>
    </row>
    <row r="56" spans="2:8" ht="15">
      <c r="B56" s="6"/>
      <c r="C56" s="6"/>
      <c r="D56" s="6"/>
      <c r="E56" s="6"/>
      <c r="G56" s="6"/>
    </row>
    <row r="57" spans="2:8" ht="15">
      <c r="B57" s="6"/>
      <c r="C57" s="6"/>
      <c r="D57" s="6"/>
      <c r="E57" s="6"/>
      <c r="G57" s="6"/>
    </row>
    <row r="58" spans="2:8" ht="25.5" customHeight="1">
      <c r="B58" s="6"/>
      <c r="C58" s="6"/>
      <c r="D58" s="6"/>
      <c r="E58" s="6"/>
      <c r="G58" s="6"/>
    </row>
    <row r="59" spans="2:8" ht="15">
      <c r="B59" s="6"/>
      <c r="C59" s="6"/>
      <c r="D59" s="6"/>
      <c r="E59" s="6"/>
      <c r="G59" s="6"/>
    </row>
    <row r="60" spans="2:8" ht="15">
      <c r="B60" s="69"/>
      <c r="C60" s="69"/>
      <c r="D60" s="69"/>
      <c r="E60" s="69"/>
      <c r="G60" s="69"/>
    </row>
    <row r="61" spans="2:8" ht="15">
      <c r="B61" s="116"/>
      <c r="C61" s="6"/>
      <c r="D61" s="6"/>
      <c r="E61" s="6"/>
      <c r="G61" s="6"/>
    </row>
    <row r="62" spans="2:8" ht="15">
      <c r="B62" s="116"/>
      <c r="C62" s="73"/>
      <c r="D62" s="73"/>
      <c r="E62" s="73"/>
      <c r="G62" s="73"/>
    </row>
    <row r="63" spans="2:8" ht="15">
      <c r="B63" s="116"/>
      <c r="C63" s="74"/>
      <c r="D63" s="74"/>
      <c r="E63" s="74"/>
      <c r="G63" s="74"/>
    </row>
    <row r="64" spans="2:8" ht="15">
      <c r="B64" s="116"/>
      <c r="C64" s="74"/>
      <c r="D64" s="74"/>
      <c r="E64" s="74"/>
      <c r="G64" s="74"/>
    </row>
    <row r="65" spans="2:7" ht="15">
      <c r="B65" s="116"/>
      <c r="C65" s="74"/>
      <c r="D65" s="74"/>
      <c r="E65" s="74"/>
      <c r="G65" s="74"/>
    </row>
    <row r="66" spans="2:7" ht="15">
      <c r="B66" s="116"/>
      <c r="C66" s="74"/>
      <c r="D66" s="74"/>
      <c r="E66" s="74"/>
      <c r="G66" s="74"/>
    </row>
    <row r="67" spans="2:7" ht="15">
      <c r="B67" s="116"/>
      <c r="C67" s="118"/>
      <c r="D67" s="117"/>
      <c r="E67" s="117"/>
      <c r="G67" s="117"/>
    </row>
    <row r="68" spans="2:7" ht="15">
      <c r="B68" s="116"/>
      <c r="C68" s="74"/>
      <c r="D68" s="74"/>
      <c r="E68" s="74"/>
      <c r="G68" s="74"/>
    </row>
    <row r="69" spans="2:7" ht="15">
      <c r="B69" s="116"/>
      <c r="C69" s="74"/>
      <c r="D69" s="74"/>
      <c r="E69" s="74"/>
      <c r="G69" s="74"/>
    </row>
    <row r="70" spans="2:7" ht="15">
      <c r="B70" s="116"/>
      <c r="C70" s="74"/>
      <c r="D70" s="74"/>
      <c r="E70" s="74"/>
      <c r="G70" s="74"/>
    </row>
    <row r="71" spans="2:7" ht="15">
      <c r="B71" s="116"/>
      <c r="C71" s="74"/>
      <c r="D71" s="74"/>
      <c r="E71" s="74"/>
      <c r="G71" s="74"/>
    </row>
    <row r="72" spans="2:7" ht="15">
      <c r="B72" s="116"/>
      <c r="C72" s="118"/>
      <c r="D72" s="117"/>
      <c r="E72" s="117"/>
      <c r="G72" s="117"/>
    </row>
    <row r="73" spans="2:7" ht="15">
      <c r="B73" s="116"/>
      <c r="C73" s="74"/>
      <c r="D73" s="74"/>
      <c r="E73" s="74"/>
      <c r="G73" s="74"/>
    </row>
    <row r="74" spans="2:7" ht="15">
      <c r="B74" s="116"/>
      <c r="C74" s="74"/>
      <c r="D74" s="74"/>
      <c r="E74" s="74"/>
      <c r="G74" s="74"/>
    </row>
    <row r="75" spans="2:7" ht="15">
      <c r="B75" s="116"/>
      <c r="C75" s="74"/>
      <c r="D75" s="74"/>
      <c r="E75" s="74"/>
      <c r="G75" s="74"/>
    </row>
    <row r="76" spans="2:7" ht="15">
      <c r="B76" s="116"/>
      <c r="C76" s="74"/>
      <c r="D76" s="74"/>
      <c r="E76" s="74"/>
      <c r="G76" s="74"/>
    </row>
    <row r="77" spans="2:7" ht="14.25">
      <c r="B77" s="536"/>
      <c r="C77" s="537"/>
      <c r="D77" s="537"/>
      <c r="E77" s="537"/>
    </row>
    <row r="78" spans="2:7">
      <c r="B78" s="538"/>
      <c r="C78" s="538"/>
      <c r="D78" s="538"/>
      <c r="E78" s="538"/>
      <c r="F78" s="538"/>
      <c r="G78" s="538"/>
    </row>
  </sheetData>
  <mergeCells count="10">
    <mergeCell ref="B77:E77"/>
    <mergeCell ref="B78:G78"/>
    <mergeCell ref="B53:E53"/>
    <mergeCell ref="B47:G47"/>
    <mergeCell ref="B48:G48"/>
    <mergeCell ref="B2:G2"/>
    <mergeCell ref="B3:G3"/>
    <mergeCell ref="B4:B5"/>
    <mergeCell ref="C4:C5"/>
    <mergeCell ref="D4:G4"/>
  </mergeCells>
  <hyperlinks>
    <hyperlink ref="B3:G3" location="'Capitulo 3'!B30" display="Viviendas ocupadas y total de ocupantes por sistema de disposición de excretas, según región y zona. 2018." xr:uid="{00000000-0004-0000-19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4"/>
  <sheetViews>
    <sheetView showGridLines="0" zoomScaleNormal="100" workbookViewId="0">
      <pane ySplit="7" topLeftCell="A8" activePane="bottomLeft" state="frozen"/>
      <selection pane="bottomLeft" activeCell="H38" sqref="H38"/>
    </sheetView>
  </sheetViews>
  <sheetFormatPr baseColWidth="10" defaultColWidth="31.7109375" defaultRowHeight="12.75"/>
  <cols>
    <col min="1" max="1" width="13.28515625" style="3" customWidth="1"/>
    <col min="2" max="2" width="34.140625" style="3" customWidth="1"/>
    <col min="3" max="3" width="20.7109375" style="3" customWidth="1"/>
    <col min="4" max="4" width="16.85546875" style="3" bestFit="1" customWidth="1"/>
    <col min="5" max="6" width="16.85546875" style="3" customWidth="1"/>
    <col min="7" max="8" width="15.85546875" style="3" customWidth="1"/>
    <col min="9" max="10" width="19.28515625" style="3" customWidth="1"/>
    <col min="11" max="11" width="28.7109375" style="3" customWidth="1"/>
    <col min="12" max="12" width="12.85546875" style="3" customWidth="1"/>
    <col min="13" max="13" width="15.5703125" style="3" customWidth="1"/>
    <col min="14" max="14" width="16.28515625" style="3" customWidth="1"/>
    <col min="15" max="15" width="11.85546875" style="3" customWidth="1"/>
    <col min="16" max="16" width="11" style="3" customWidth="1"/>
    <col min="17" max="17" width="15" style="3" customWidth="1"/>
    <col min="18" max="18" width="14.7109375" style="3" customWidth="1"/>
    <col min="19" max="19" width="13" style="3" customWidth="1"/>
    <col min="20" max="20" width="14.140625" style="3" customWidth="1"/>
    <col min="21" max="16384" width="31.7109375" style="3"/>
  </cols>
  <sheetData>
    <row r="1" spans="2:11" ht="15">
      <c r="B1" s="68"/>
      <c r="C1" s="69"/>
      <c r="D1" s="69"/>
      <c r="E1" s="407"/>
      <c r="F1" s="407"/>
      <c r="G1" s="69"/>
      <c r="H1" s="69"/>
      <c r="I1" s="103"/>
      <c r="J1" s="103"/>
      <c r="K1" s="103"/>
    </row>
    <row r="2" spans="2:11" ht="15">
      <c r="B2" s="462" t="s">
        <v>451</v>
      </c>
      <c r="C2" s="462"/>
      <c r="D2" s="462"/>
      <c r="E2" s="462"/>
      <c r="F2" s="462"/>
      <c r="G2" s="462"/>
      <c r="H2" s="462"/>
      <c r="I2" s="462"/>
      <c r="J2" s="462"/>
      <c r="K2" s="462"/>
    </row>
    <row r="3" spans="2:11" ht="30.75" customHeight="1" thickBot="1">
      <c r="B3" s="482" t="s">
        <v>516</v>
      </c>
      <c r="C3" s="482"/>
      <c r="D3" s="482"/>
      <c r="E3" s="482"/>
      <c r="F3" s="482"/>
      <c r="G3" s="482"/>
      <c r="H3" s="482"/>
      <c r="I3" s="482"/>
      <c r="J3" s="482"/>
      <c r="K3" s="482"/>
    </row>
    <row r="4" spans="2:11" ht="24" customHeight="1" thickTop="1" thickBot="1">
      <c r="B4" s="484" t="s">
        <v>164</v>
      </c>
      <c r="C4" s="548" t="s">
        <v>4</v>
      </c>
      <c r="D4" s="549"/>
      <c r="E4" s="542" t="s">
        <v>163</v>
      </c>
      <c r="F4" s="552"/>
      <c r="G4" s="552"/>
      <c r="H4" s="552"/>
      <c r="I4" s="552"/>
      <c r="J4" s="552"/>
      <c r="K4" s="543"/>
    </row>
    <row r="5" spans="2:11" ht="42" customHeight="1" thickTop="1" thickBot="1">
      <c r="B5" s="539"/>
      <c r="C5" s="550"/>
      <c r="D5" s="551"/>
      <c r="E5" s="542" t="s">
        <v>167</v>
      </c>
      <c r="F5" s="543"/>
      <c r="G5" s="542" t="s">
        <v>166</v>
      </c>
      <c r="H5" s="543"/>
      <c r="I5" s="542" t="s">
        <v>165</v>
      </c>
      <c r="J5" s="543"/>
      <c r="K5" s="476" t="s">
        <v>168</v>
      </c>
    </row>
    <row r="6" spans="2:11" ht="12.75" customHeight="1" thickTop="1">
      <c r="B6" s="539"/>
      <c r="C6" s="540" t="s">
        <v>169</v>
      </c>
      <c r="D6" s="540" t="s">
        <v>134</v>
      </c>
      <c r="E6" s="540" t="s">
        <v>132</v>
      </c>
      <c r="F6" s="540" t="s">
        <v>134</v>
      </c>
      <c r="G6" s="540" t="s">
        <v>132</v>
      </c>
      <c r="H6" s="540" t="s">
        <v>134</v>
      </c>
      <c r="I6" s="540" t="s">
        <v>132</v>
      </c>
      <c r="J6" s="540" t="s">
        <v>134</v>
      </c>
      <c r="K6" s="527"/>
    </row>
    <row r="7" spans="2:11" ht="28.5" customHeight="1" thickBot="1">
      <c r="B7" s="485"/>
      <c r="C7" s="541"/>
      <c r="D7" s="541"/>
      <c r="E7" s="541"/>
      <c r="F7" s="541"/>
      <c r="G7" s="541"/>
      <c r="H7" s="541"/>
      <c r="I7" s="541"/>
      <c r="J7" s="541"/>
      <c r="K7" s="477"/>
    </row>
    <row r="8" spans="2:11" ht="28.5" customHeight="1" thickTop="1" thickBot="1">
      <c r="B8" s="272" t="s">
        <v>103</v>
      </c>
      <c r="C8" s="413">
        <v>1540029</v>
      </c>
      <c r="D8" s="413">
        <v>5003673</v>
      </c>
      <c r="E8" s="413">
        <v>1434074</v>
      </c>
      <c r="F8" s="413">
        <v>4647014</v>
      </c>
      <c r="G8" s="413">
        <v>90106</v>
      </c>
      <c r="H8" s="413">
        <v>307810</v>
      </c>
      <c r="I8" s="413">
        <v>15849</v>
      </c>
      <c r="J8" s="413">
        <v>48849</v>
      </c>
      <c r="K8" s="280">
        <f>+(G8+I8)/$C$8</f>
        <v>6.880065245524597E-2</v>
      </c>
    </row>
    <row r="9" spans="2:11" ht="14.25" thickTop="1" thickBot="1">
      <c r="B9" s="272" t="s">
        <v>170</v>
      </c>
      <c r="C9" s="413">
        <v>954581</v>
      </c>
      <c r="D9" s="413">
        <v>3043682</v>
      </c>
      <c r="E9" s="413">
        <v>887686</v>
      </c>
      <c r="F9" s="413">
        <v>2821092</v>
      </c>
      <c r="G9" s="413">
        <v>58495</v>
      </c>
      <c r="H9" s="413">
        <v>198092</v>
      </c>
      <c r="I9" s="413">
        <v>8400</v>
      </c>
      <c r="J9" s="413">
        <v>24498</v>
      </c>
      <c r="K9" s="280">
        <f t="shared" ref="K9:K13" si="0">+(G9+I9)/$C$8</f>
        <v>4.3437493709534043E-2</v>
      </c>
    </row>
    <row r="10" spans="2:11" ht="14.25" thickTop="1" thickBot="1">
      <c r="B10" s="272" t="s">
        <v>171</v>
      </c>
      <c r="C10" s="413">
        <v>143964</v>
      </c>
      <c r="D10" s="413">
        <v>506386</v>
      </c>
      <c r="E10" s="413">
        <v>139746</v>
      </c>
      <c r="F10" s="413">
        <v>492552</v>
      </c>
      <c r="G10" s="413">
        <v>3823</v>
      </c>
      <c r="H10" s="413">
        <v>12130</v>
      </c>
      <c r="I10" s="413">
        <v>395</v>
      </c>
      <c r="J10" s="413">
        <v>1704</v>
      </c>
      <c r="K10" s="280">
        <f t="shared" si="0"/>
        <v>2.7389094620945448E-3</v>
      </c>
    </row>
    <row r="11" spans="2:11" ht="14.25" thickTop="1" thickBot="1">
      <c r="B11" s="272" t="s">
        <v>172</v>
      </c>
      <c r="C11" s="413">
        <v>285531</v>
      </c>
      <c r="D11" s="413">
        <v>941973</v>
      </c>
      <c r="E11" s="413">
        <v>276738</v>
      </c>
      <c r="F11" s="413">
        <v>911560</v>
      </c>
      <c r="G11" s="413">
        <v>7244</v>
      </c>
      <c r="H11" s="413">
        <v>26179</v>
      </c>
      <c r="I11" s="413">
        <v>1549</v>
      </c>
      <c r="J11" s="413">
        <v>4234</v>
      </c>
      <c r="K11" s="280">
        <f t="shared" si="0"/>
        <v>5.7096327406821563E-3</v>
      </c>
    </row>
    <row r="12" spans="2:11" ht="14.25" thickTop="1" thickBot="1">
      <c r="B12" s="272" t="s">
        <v>173</v>
      </c>
      <c r="C12" s="413">
        <v>27102</v>
      </c>
      <c r="D12" s="413">
        <v>110231</v>
      </c>
      <c r="E12" s="413">
        <v>21080</v>
      </c>
      <c r="F12" s="413">
        <v>85146</v>
      </c>
      <c r="G12" s="413">
        <v>4412</v>
      </c>
      <c r="H12" s="413">
        <v>17285</v>
      </c>
      <c r="I12" s="413">
        <v>1610</v>
      </c>
      <c r="J12" s="413">
        <v>7800</v>
      </c>
      <c r="K12" s="280">
        <f t="shared" si="0"/>
        <v>3.9103159745693099E-3</v>
      </c>
    </row>
    <row r="13" spans="2:11" ht="14.25" thickTop="1" thickBot="1">
      <c r="B13" s="272" t="s">
        <v>416</v>
      </c>
      <c r="C13" s="413">
        <v>128851</v>
      </c>
      <c r="D13" s="413">
        <v>401401</v>
      </c>
      <c r="E13" s="413">
        <v>108824</v>
      </c>
      <c r="F13" s="413">
        <v>336664</v>
      </c>
      <c r="G13" s="413">
        <v>16132</v>
      </c>
      <c r="H13" s="413">
        <v>54124</v>
      </c>
      <c r="I13" s="413">
        <v>3895</v>
      </c>
      <c r="J13" s="413">
        <v>10613</v>
      </c>
      <c r="K13" s="280">
        <f t="shared" si="0"/>
        <v>1.300430056836592E-2</v>
      </c>
    </row>
    <row r="14" spans="2:11" ht="15.75" thickTop="1" thickBot="1">
      <c r="B14" s="307"/>
      <c r="C14" s="302"/>
      <c r="D14" s="302"/>
      <c r="E14" s="302"/>
      <c r="F14" s="302"/>
      <c r="G14" s="302"/>
      <c r="H14" s="302"/>
      <c r="I14" s="302"/>
      <c r="J14" s="302"/>
      <c r="K14" s="237"/>
    </row>
    <row r="15" spans="2:11" ht="14.25" thickTop="1" thickBot="1">
      <c r="B15" s="466" t="s">
        <v>513</v>
      </c>
      <c r="C15" s="467"/>
      <c r="D15" s="467"/>
      <c r="E15" s="467"/>
      <c r="F15" s="467"/>
      <c r="G15" s="467"/>
      <c r="H15" s="467"/>
      <c r="I15" s="467"/>
      <c r="J15" s="467"/>
      <c r="K15" s="467"/>
    </row>
    <row r="16" spans="2:11" ht="15.75" thickTop="1">
      <c r="B16" s="1"/>
      <c r="C16" s="1"/>
      <c r="D16" s="405"/>
      <c r="E16" s="405"/>
      <c r="F16" s="405"/>
      <c r="G16" s="186"/>
      <c r="H16" s="186"/>
      <c r="I16" s="186"/>
      <c r="J16" s="186"/>
      <c r="K16" s="79"/>
    </row>
    <row r="17" spans="1:13" ht="15">
      <c r="K17" s="79"/>
    </row>
    <row r="18" spans="1:13" ht="15">
      <c r="G18" s="47"/>
      <c r="H18" s="47"/>
      <c r="I18" s="47"/>
      <c r="J18" s="47"/>
      <c r="K18" s="79"/>
      <c r="L18" s="47"/>
      <c r="M18" s="47"/>
    </row>
    <row r="19" spans="1:13" ht="16.5" customHeight="1" thickBot="1">
      <c r="A19" s="546"/>
      <c r="B19" s="547"/>
      <c r="C19" s="544"/>
      <c r="D19" s="545"/>
      <c r="E19" s="545"/>
      <c r="F19" s="545"/>
      <c r="G19" s="408"/>
      <c r="K19" s="79"/>
    </row>
    <row r="20" spans="1:13" ht="16.5" thickTop="1" thickBot="1">
      <c r="B20" s="272"/>
      <c r="C20" s="47"/>
      <c r="D20" s="47"/>
      <c r="E20" s="47"/>
      <c r="G20" s="252"/>
      <c r="H20" s="47"/>
      <c r="I20" s="47"/>
      <c r="J20" s="47"/>
      <c r="K20" s="79"/>
    </row>
    <row r="21" spans="1:13" ht="16.5" thickTop="1" thickBot="1">
      <c r="B21" s="272"/>
      <c r="G21" s="252"/>
      <c r="K21" s="79"/>
    </row>
    <row r="22" spans="1:13" ht="16.5" thickTop="1" thickBot="1">
      <c r="B22" s="272"/>
      <c r="C22" s="252"/>
      <c r="G22" s="252"/>
      <c r="K22" s="79"/>
    </row>
    <row r="23" spans="1:13" ht="16.5" thickTop="1" thickBot="1">
      <c r="B23" s="272"/>
      <c r="C23" s="252"/>
      <c r="G23" s="252"/>
      <c r="K23" s="79"/>
    </row>
    <row r="24" spans="1:13" ht="15.75" thickTop="1">
      <c r="K24" s="79"/>
    </row>
  </sheetData>
  <mergeCells count="21">
    <mergeCell ref="C19:D19"/>
    <mergeCell ref="E19:F19"/>
    <mergeCell ref="A19:B19"/>
    <mergeCell ref="B15:K15"/>
    <mergeCell ref="K5:K7"/>
    <mergeCell ref="I5:J5"/>
    <mergeCell ref="G6:G7"/>
    <mergeCell ref="C4:D5"/>
    <mergeCell ref="H6:H7"/>
    <mergeCell ref="G5:H5"/>
    <mergeCell ref="I6:I7"/>
    <mergeCell ref="J6:J7"/>
    <mergeCell ref="E4:K4"/>
    <mergeCell ref="B2:K2"/>
    <mergeCell ref="B3:K3"/>
    <mergeCell ref="B4:B7"/>
    <mergeCell ref="C6:C7"/>
    <mergeCell ref="D6:D7"/>
    <mergeCell ref="E6:E7"/>
    <mergeCell ref="F6:F7"/>
    <mergeCell ref="E5:F5"/>
  </mergeCells>
  <hyperlinks>
    <hyperlink ref="B3:K3" location="'Capitulo 3'!B31" display="Viviendas ocupadas y número de ocupantes por disponibilidad de servicios básicos, según tipo de tenencia de la vivienda. 2018." xr:uid="{00000000-0004-0000-1A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Q65"/>
  <sheetViews>
    <sheetView showGridLines="0" zoomScale="85" zoomScaleNormal="85" workbookViewId="0">
      <pane ySplit="5" topLeftCell="A6" activePane="bottomLeft" state="frozen"/>
      <selection pane="bottomLeft" activeCell="O17" sqref="O17"/>
    </sheetView>
  </sheetViews>
  <sheetFormatPr baseColWidth="10" defaultColWidth="11.42578125" defaultRowHeight="12.75"/>
  <cols>
    <col min="1" max="1" width="11.42578125" customWidth="1"/>
    <col min="2" max="2" width="50.42578125" style="3" customWidth="1"/>
    <col min="3" max="3" width="24.7109375" style="3" customWidth="1"/>
    <col min="4" max="4" width="16" style="3" customWidth="1"/>
    <col min="5" max="5" width="19" style="3" customWidth="1"/>
    <col min="6" max="6" width="18.140625" style="3" customWidth="1"/>
    <col min="7" max="7" width="15.85546875" style="3" customWidth="1"/>
    <col min="8" max="8" width="16.7109375" style="3" customWidth="1"/>
    <col min="9" max="9" width="16" style="3" customWidth="1"/>
    <col min="10" max="16" width="11.42578125" style="3" customWidth="1"/>
  </cols>
  <sheetData>
    <row r="2" spans="2:17" ht="15">
      <c r="B2" s="462" t="s">
        <v>449</v>
      </c>
      <c r="C2" s="462"/>
      <c r="D2" s="462"/>
      <c r="E2" s="462"/>
      <c r="F2" s="462"/>
      <c r="G2" s="462"/>
      <c r="H2" s="462"/>
      <c r="I2" s="462"/>
    </row>
    <row r="3" spans="2:17" ht="16.5" customHeight="1" thickBot="1">
      <c r="B3" s="482" t="s">
        <v>517</v>
      </c>
      <c r="C3" s="482"/>
      <c r="D3" s="482"/>
      <c r="E3" s="482"/>
      <c r="F3" s="482"/>
      <c r="G3" s="482"/>
      <c r="H3" s="482"/>
      <c r="I3" s="482"/>
    </row>
    <row r="4" spans="2:17" ht="14.25" thickTop="1" thickBot="1">
      <c r="B4" s="494" t="s">
        <v>312</v>
      </c>
      <c r="C4" s="494" t="s">
        <v>4</v>
      </c>
      <c r="D4" s="459" t="s">
        <v>124</v>
      </c>
      <c r="E4" s="460"/>
      <c r="F4" s="460"/>
      <c r="G4" s="460"/>
      <c r="H4" s="460"/>
      <c r="I4" s="461"/>
    </row>
    <row r="5" spans="2:17" ht="65.25" thickTop="1" thickBot="1">
      <c r="B5" s="503"/>
      <c r="C5" s="503"/>
      <c r="D5" s="314" t="s">
        <v>153</v>
      </c>
      <c r="E5" s="314" t="s">
        <v>125</v>
      </c>
      <c r="F5" s="314" t="s">
        <v>126</v>
      </c>
      <c r="G5" s="314" t="s">
        <v>161</v>
      </c>
      <c r="H5" s="314" t="s">
        <v>128</v>
      </c>
      <c r="I5" s="314" t="s">
        <v>129</v>
      </c>
    </row>
    <row r="6" spans="2:17" ht="14.25" thickTop="1" thickBot="1">
      <c r="B6" s="272" t="s">
        <v>139</v>
      </c>
      <c r="C6" s="413">
        <f>SUM(C7:C11)</f>
        <v>949460</v>
      </c>
      <c r="D6" s="413">
        <f t="shared" ref="D6:I6" si="0">SUM(D7:D11)</f>
        <v>44031</v>
      </c>
      <c r="E6" s="413">
        <f t="shared" si="0"/>
        <v>454605</v>
      </c>
      <c r="F6" s="413">
        <f t="shared" si="0"/>
        <v>413582</v>
      </c>
      <c r="G6" s="413">
        <f t="shared" si="0"/>
        <v>32519</v>
      </c>
      <c r="H6" s="413">
        <f t="shared" si="0"/>
        <v>1232</v>
      </c>
      <c r="I6" s="413">
        <f t="shared" si="0"/>
        <v>3491</v>
      </c>
    </row>
    <row r="7" spans="2:17" ht="14.25" thickTop="1" thickBot="1">
      <c r="B7" s="272" t="s">
        <v>170</v>
      </c>
      <c r="C7" s="413">
        <f>SUM(D7:I7)</f>
        <v>572459</v>
      </c>
      <c r="D7" s="413">
        <v>16509</v>
      </c>
      <c r="E7" s="413">
        <v>308860</v>
      </c>
      <c r="F7" s="413">
        <v>239665</v>
      </c>
      <c r="G7" s="413">
        <v>6431</v>
      </c>
      <c r="H7" s="413" t="s">
        <v>156</v>
      </c>
      <c r="I7" s="413">
        <v>994</v>
      </c>
    </row>
    <row r="8" spans="2:17" ht="14.25" thickTop="1" thickBot="1">
      <c r="B8" s="272" t="s">
        <v>171</v>
      </c>
      <c r="C8" s="413">
        <f>SUM(D8:I8)</f>
        <v>105074</v>
      </c>
      <c r="D8" s="413">
        <v>15332</v>
      </c>
      <c r="E8" s="413">
        <v>48598</v>
      </c>
      <c r="F8" s="413">
        <v>39866</v>
      </c>
      <c r="G8" s="413">
        <v>1278</v>
      </c>
      <c r="H8" s="413" t="s">
        <v>156</v>
      </c>
      <c r="I8" s="413" t="s">
        <v>156</v>
      </c>
    </row>
    <row r="9" spans="2:17" ht="14.25" thickTop="1" thickBot="1">
      <c r="B9" s="272" t="s">
        <v>172</v>
      </c>
      <c r="C9" s="413">
        <f>SUM(D9:I9)</f>
        <v>197481</v>
      </c>
      <c r="D9" s="413">
        <v>11165</v>
      </c>
      <c r="E9" s="413">
        <v>61079</v>
      </c>
      <c r="F9" s="413">
        <v>100570</v>
      </c>
      <c r="G9" s="413">
        <v>23435</v>
      </c>
      <c r="H9" s="413">
        <v>1232</v>
      </c>
      <c r="I9" s="413" t="s">
        <v>156</v>
      </c>
    </row>
    <row r="10" spans="2:17" ht="14.25" thickTop="1" thickBot="1">
      <c r="B10" s="272" t="s">
        <v>173</v>
      </c>
      <c r="C10" s="413">
        <f>SUM(D10:I10)</f>
        <v>19097</v>
      </c>
      <c r="D10" s="413" t="s">
        <v>156</v>
      </c>
      <c r="E10" s="413">
        <v>3358</v>
      </c>
      <c r="F10" s="413">
        <v>13734</v>
      </c>
      <c r="G10" s="413" t="s">
        <v>156</v>
      </c>
      <c r="H10" s="413" t="s">
        <v>156</v>
      </c>
      <c r="I10" s="413">
        <v>2005</v>
      </c>
      <c r="L10" s="3" t="s">
        <v>1136</v>
      </c>
    </row>
    <row r="11" spans="2:17" ht="14.25" thickTop="1" thickBot="1">
      <c r="B11" s="272" t="s">
        <v>174</v>
      </c>
      <c r="C11" s="413">
        <f>SUM(D11:I11)</f>
        <v>55349</v>
      </c>
      <c r="D11" s="413">
        <v>1025</v>
      </c>
      <c r="E11" s="413">
        <v>32710</v>
      </c>
      <c r="F11" s="413">
        <v>19747</v>
      </c>
      <c r="G11" s="413">
        <v>1375</v>
      </c>
      <c r="H11" s="413" t="s">
        <v>156</v>
      </c>
      <c r="I11" s="413">
        <v>492</v>
      </c>
      <c r="L11" s="3" t="s">
        <v>1137</v>
      </c>
    </row>
    <row r="12" spans="2:17" ht="14.25" thickTop="1" thickBot="1">
      <c r="B12" s="272"/>
      <c r="C12" s="413"/>
      <c r="D12" s="413"/>
      <c r="E12" s="413"/>
      <c r="F12" s="413"/>
      <c r="G12" s="413"/>
      <c r="H12" s="413"/>
      <c r="I12" s="413"/>
    </row>
    <row r="13" spans="2:17" ht="14.25" thickTop="1" thickBot="1">
      <c r="B13" s="272" t="s">
        <v>117</v>
      </c>
      <c r="C13" s="413">
        <f t="shared" ref="C13:H13" si="1">SUM(C14:C18)</f>
        <v>118218</v>
      </c>
      <c r="D13" s="413">
        <f t="shared" si="1"/>
        <v>558</v>
      </c>
      <c r="E13" s="413">
        <f t="shared" si="1"/>
        <v>85071</v>
      </c>
      <c r="F13" s="413">
        <f t="shared" si="1"/>
        <v>30595</v>
      </c>
      <c r="G13" s="413">
        <f t="shared" si="1"/>
        <v>1457</v>
      </c>
      <c r="H13" s="413">
        <f t="shared" si="1"/>
        <v>117</v>
      </c>
      <c r="I13" s="413">
        <f>SUM(I14:I18)</f>
        <v>420</v>
      </c>
      <c r="J13" s="119"/>
      <c r="K13" s="119"/>
    </row>
    <row r="14" spans="2:17" ht="14.25" thickTop="1" thickBot="1">
      <c r="B14" s="272" t="s">
        <v>170</v>
      </c>
      <c r="C14" s="413">
        <f>SUM(D14:I14)</f>
        <v>79336</v>
      </c>
      <c r="D14" s="413" t="s">
        <v>156</v>
      </c>
      <c r="E14" s="413">
        <v>61158</v>
      </c>
      <c r="F14" s="413">
        <v>18042</v>
      </c>
      <c r="G14" s="413" t="s">
        <v>156</v>
      </c>
      <c r="H14" s="413" t="s">
        <v>156</v>
      </c>
      <c r="I14" s="413">
        <v>136</v>
      </c>
      <c r="J14" s="121"/>
      <c r="K14" s="122"/>
      <c r="L14" s="122"/>
      <c r="M14" s="122"/>
      <c r="N14" s="122"/>
      <c r="O14" s="122"/>
      <c r="P14" s="122"/>
      <c r="Q14" s="122"/>
    </row>
    <row r="15" spans="2:17" ht="14.25" thickTop="1" thickBot="1">
      <c r="B15" s="272" t="s">
        <v>171</v>
      </c>
      <c r="C15" s="413">
        <f>SUM(D15:I15)</f>
        <v>9719</v>
      </c>
      <c r="D15" s="413">
        <v>120</v>
      </c>
      <c r="E15" s="413">
        <v>5144</v>
      </c>
      <c r="F15" s="413">
        <v>4331</v>
      </c>
      <c r="G15" s="413">
        <v>124</v>
      </c>
      <c r="H15" s="413" t="s">
        <v>156</v>
      </c>
      <c r="I15" s="413" t="s">
        <v>156</v>
      </c>
      <c r="J15" s="121"/>
    </row>
    <row r="16" spans="2:17" ht="14.25" thickTop="1" thickBot="1">
      <c r="B16" s="272" t="s">
        <v>172</v>
      </c>
      <c r="C16" s="413">
        <f>SUM(D16:I16)</f>
        <v>15878</v>
      </c>
      <c r="D16" s="413" t="s">
        <v>156</v>
      </c>
      <c r="E16" s="413">
        <v>8376</v>
      </c>
      <c r="F16" s="413">
        <v>6052</v>
      </c>
      <c r="G16" s="413">
        <v>1333</v>
      </c>
      <c r="H16" s="413">
        <v>117</v>
      </c>
      <c r="I16" s="413" t="s">
        <v>156</v>
      </c>
      <c r="J16" s="121"/>
    </row>
    <row r="17" spans="2:10" ht="14.25" thickTop="1" thickBot="1">
      <c r="B17" s="272" t="s">
        <v>173</v>
      </c>
      <c r="C17" s="413">
        <f>SUM(D17:I17)</f>
        <v>938</v>
      </c>
      <c r="D17" s="413" t="s">
        <v>156</v>
      </c>
      <c r="E17" s="413">
        <v>654</v>
      </c>
      <c r="F17" s="413" t="s">
        <v>156</v>
      </c>
      <c r="G17" s="413" t="s">
        <v>156</v>
      </c>
      <c r="H17" s="413" t="s">
        <v>156</v>
      </c>
      <c r="I17" s="413">
        <v>284</v>
      </c>
      <c r="J17" s="121"/>
    </row>
    <row r="18" spans="2:10" ht="14.25" thickTop="1" thickBot="1">
      <c r="B18" s="272" t="s">
        <v>174</v>
      </c>
      <c r="C18" s="413">
        <f>SUM(D18:I18)</f>
        <v>12347</v>
      </c>
      <c r="D18" s="413">
        <v>438</v>
      </c>
      <c r="E18" s="413">
        <v>9739</v>
      </c>
      <c r="F18" s="413">
        <v>2170</v>
      </c>
      <c r="G18" s="413" t="s">
        <v>156</v>
      </c>
      <c r="H18" s="413" t="s">
        <v>156</v>
      </c>
      <c r="I18" s="413" t="s">
        <v>156</v>
      </c>
      <c r="J18" s="121"/>
    </row>
    <row r="19" spans="2:10" ht="14.25" thickTop="1" thickBot="1">
      <c r="B19" s="272"/>
      <c r="C19" s="413"/>
      <c r="D19" s="413"/>
      <c r="E19" s="413"/>
      <c r="F19" s="413"/>
      <c r="G19" s="413"/>
      <c r="H19" s="413"/>
      <c r="I19" s="413"/>
      <c r="J19" s="121"/>
    </row>
    <row r="20" spans="2:10" ht="14.25" thickTop="1" thickBot="1">
      <c r="B20" s="272" t="s">
        <v>118</v>
      </c>
      <c r="C20" s="413">
        <f>SUM(C21:C25)</f>
        <v>92270</v>
      </c>
      <c r="D20" s="413">
        <f t="shared" ref="D20:I20" si="2">SUM(D21:D25)</f>
        <v>377</v>
      </c>
      <c r="E20" s="413">
        <f t="shared" si="2"/>
        <v>63085</v>
      </c>
      <c r="F20" s="413">
        <f t="shared" si="2"/>
        <v>27596</v>
      </c>
      <c r="G20" s="413">
        <f t="shared" si="2"/>
        <v>618</v>
      </c>
      <c r="H20" s="413">
        <f t="shared" si="2"/>
        <v>0</v>
      </c>
      <c r="I20" s="413">
        <f t="shared" si="2"/>
        <v>594</v>
      </c>
      <c r="J20" s="121"/>
    </row>
    <row r="21" spans="2:10" ht="14.25" thickTop="1" thickBot="1">
      <c r="B21" s="272" t="s">
        <v>170</v>
      </c>
      <c r="C21" s="413">
        <f>SUM(D21:I21)</f>
        <v>56954</v>
      </c>
      <c r="D21" s="413">
        <v>263</v>
      </c>
      <c r="E21" s="413">
        <v>39489</v>
      </c>
      <c r="F21" s="413">
        <v>16818</v>
      </c>
      <c r="G21" s="413" t="s">
        <v>156</v>
      </c>
      <c r="H21" s="413" t="s">
        <v>156</v>
      </c>
      <c r="I21" s="413">
        <v>384</v>
      </c>
      <c r="J21" s="121"/>
    </row>
    <row r="22" spans="2:10" ht="14.25" thickTop="1" thickBot="1">
      <c r="B22" s="272" t="s">
        <v>171</v>
      </c>
      <c r="C22" s="413">
        <f>SUM(D22:I22)</f>
        <v>5953</v>
      </c>
      <c r="D22" s="413">
        <v>114</v>
      </c>
      <c r="E22" s="413">
        <v>4092</v>
      </c>
      <c r="F22" s="413">
        <v>1747</v>
      </c>
      <c r="G22" s="413" t="s">
        <v>156</v>
      </c>
      <c r="H22" s="413" t="s">
        <v>156</v>
      </c>
      <c r="I22" s="413" t="s">
        <v>156</v>
      </c>
      <c r="J22" s="121"/>
    </row>
    <row r="23" spans="2:10" ht="14.25" thickTop="1" thickBot="1">
      <c r="B23" s="272" t="s">
        <v>172</v>
      </c>
      <c r="C23" s="413">
        <f>SUM(D23:I23)</f>
        <v>14710</v>
      </c>
      <c r="D23" s="413" t="s">
        <v>156</v>
      </c>
      <c r="E23" s="413">
        <v>7952</v>
      </c>
      <c r="F23" s="413">
        <v>6140</v>
      </c>
      <c r="G23" s="413">
        <v>618</v>
      </c>
      <c r="H23" s="413" t="s">
        <v>156</v>
      </c>
      <c r="I23" s="413" t="s">
        <v>156</v>
      </c>
      <c r="J23" s="121"/>
    </row>
    <row r="24" spans="2:10" ht="14.25" thickTop="1" thickBot="1">
      <c r="B24" s="272" t="s">
        <v>173</v>
      </c>
      <c r="C24" s="413">
        <f>SUM(D24:I24)</f>
        <v>2117</v>
      </c>
      <c r="D24" s="413" t="s">
        <v>156</v>
      </c>
      <c r="E24" s="413">
        <v>1342</v>
      </c>
      <c r="F24" s="413">
        <v>775</v>
      </c>
      <c r="G24" s="413" t="s">
        <v>156</v>
      </c>
      <c r="H24" s="413" t="s">
        <v>156</v>
      </c>
      <c r="I24" s="413" t="s">
        <v>156</v>
      </c>
      <c r="J24" s="121"/>
    </row>
    <row r="25" spans="2:10" ht="14.25" thickTop="1" thickBot="1">
      <c r="B25" s="272" t="s">
        <v>174</v>
      </c>
      <c r="C25" s="413">
        <f>SUM(D25:I25)</f>
        <v>12536</v>
      </c>
      <c r="D25" s="413" t="s">
        <v>156</v>
      </c>
      <c r="E25" s="413">
        <v>10210</v>
      </c>
      <c r="F25" s="413">
        <v>2116</v>
      </c>
      <c r="G25" s="413" t="s">
        <v>156</v>
      </c>
      <c r="H25" s="413" t="s">
        <v>156</v>
      </c>
      <c r="I25" s="413">
        <v>210</v>
      </c>
      <c r="J25" s="121"/>
    </row>
    <row r="26" spans="2:10" ht="14.25" thickTop="1" thickBot="1">
      <c r="B26" s="272"/>
      <c r="C26" s="413"/>
      <c r="D26" s="413"/>
      <c r="E26" s="413"/>
      <c r="F26" s="413"/>
      <c r="G26" s="413"/>
      <c r="H26" s="413"/>
      <c r="I26" s="413"/>
      <c r="J26" s="121"/>
    </row>
    <row r="27" spans="2:10" ht="14.25" thickTop="1" thickBot="1">
      <c r="B27" s="272" t="s">
        <v>119</v>
      </c>
      <c r="C27" s="413">
        <f>SUM(C28:C32)</f>
        <v>123448</v>
      </c>
      <c r="D27" s="413">
        <f t="shared" ref="D27:I27" si="3">SUM(D28:D32)</f>
        <v>393</v>
      </c>
      <c r="E27" s="413">
        <f t="shared" si="3"/>
        <v>107111</v>
      </c>
      <c r="F27" s="413">
        <f t="shared" si="3"/>
        <v>13855</v>
      </c>
      <c r="G27" s="413">
        <f t="shared" si="3"/>
        <v>1608</v>
      </c>
      <c r="H27" s="413">
        <f t="shared" si="3"/>
        <v>0</v>
      </c>
      <c r="I27" s="413">
        <f t="shared" si="3"/>
        <v>481</v>
      </c>
      <c r="J27" s="121"/>
    </row>
    <row r="28" spans="2:10" ht="14.25" thickTop="1" thickBot="1">
      <c r="B28" s="272" t="s">
        <v>170</v>
      </c>
      <c r="C28" s="413">
        <f>SUM(D28:I28)</f>
        <v>82006</v>
      </c>
      <c r="D28" s="413">
        <v>262</v>
      </c>
      <c r="E28" s="413">
        <v>73414</v>
      </c>
      <c r="F28" s="413">
        <v>7921</v>
      </c>
      <c r="G28" s="413">
        <v>150</v>
      </c>
      <c r="H28" s="413" t="s">
        <v>156</v>
      </c>
      <c r="I28" s="413">
        <v>259</v>
      </c>
      <c r="J28" s="121"/>
    </row>
    <row r="29" spans="2:10" ht="14.25" thickTop="1" thickBot="1">
      <c r="B29" s="272" t="s">
        <v>171</v>
      </c>
      <c r="C29" s="413">
        <f>SUM(D29:I29)</f>
        <v>9403</v>
      </c>
      <c r="D29" s="413">
        <v>131</v>
      </c>
      <c r="E29" s="413">
        <v>8700</v>
      </c>
      <c r="F29" s="413">
        <v>572</v>
      </c>
      <c r="G29" s="413" t="s">
        <v>156</v>
      </c>
      <c r="H29" s="413" t="s">
        <v>156</v>
      </c>
      <c r="I29" s="413" t="s">
        <v>156</v>
      </c>
      <c r="J29" s="121"/>
    </row>
    <row r="30" spans="2:10" ht="14.25" thickTop="1" thickBot="1">
      <c r="B30" s="272" t="s">
        <v>172</v>
      </c>
      <c r="C30" s="413">
        <f>SUM(D30:I30)</f>
        <v>14068</v>
      </c>
      <c r="D30" s="413" t="s">
        <v>156</v>
      </c>
      <c r="E30" s="413">
        <v>8931</v>
      </c>
      <c r="F30" s="413">
        <v>3679</v>
      </c>
      <c r="G30" s="413">
        <v>1458</v>
      </c>
      <c r="H30" s="413" t="s">
        <v>156</v>
      </c>
      <c r="I30" s="413" t="s">
        <v>156</v>
      </c>
      <c r="J30" s="121"/>
    </row>
    <row r="31" spans="2:10" ht="14.25" thickTop="1" thickBot="1">
      <c r="B31" s="272" t="s">
        <v>173</v>
      </c>
      <c r="C31" s="413">
        <f>SUM(D31:I31)</f>
        <v>222</v>
      </c>
      <c r="D31" s="413" t="s">
        <v>156</v>
      </c>
      <c r="E31" s="413">
        <v>111</v>
      </c>
      <c r="F31" s="413" t="s">
        <v>156</v>
      </c>
      <c r="G31" s="413" t="s">
        <v>156</v>
      </c>
      <c r="H31" s="413" t="s">
        <v>156</v>
      </c>
      <c r="I31" s="413">
        <v>111</v>
      </c>
      <c r="J31" s="121"/>
    </row>
    <row r="32" spans="2:10" ht="14.25" thickTop="1" thickBot="1">
      <c r="B32" s="272" t="s">
        <v>174</v>
      </c>
      <c r="C32" s="413">
        <f>SUM(D32:I32)</f>
        <v>17749</v>
      </c>
      <c r="D32" s="413" t="s">
        <v>156</v>
      </c>
      <c r="E32" s="413">
        <v>15955</v>
      </c>
      <c r="F32" s="413">
        <v>1683</v>
      </c>
      <c r="G32" s="413" t="s">
        <v>156</v>
      </c>
      <c r="H32" s="413" t="s">
        <v>156</v>
      </c>
      <c r="I32" s="413">
        <v>111</v>
      </c>
      <c r="J32" s="121"/>
    </row>
    <row r="33" spans="2:10" ht="14.25" thickTop="1" thickBot="1">
      <c r="B33" s="272"/>
      <c r="C33" s="413"/>
      <c r="D33" s="413"/>
      <c r="E33" s="413"/>
      <c r="F33" s="413"/>
      <c r="G33" s="413"/>
      <c r="H33" s="413"/>
      <c r="I33" s="413"/>
      <c r="J33" s="121"/>
    </row>
    <row r="34" spans="2:10" ht="14.25" thickTop="1" thickBot="1">
      <c r="B34" s="272" t="s">
        <v>275</v>
      </c>
      <c r="C34" s="413">
        <f>SUM(C35:C39)</f>
        <v>137466</v>
      </c>
      <c r="D34" s="413">
        <f t="shared" ref="D34:I34" si="4">SUM(D35:D39)</f>
        <v>394</v>
      </c>
      <c r="E34" s="413">
        <f t="shared" si="4"/>
        <v>117644</v>
      </c>
      <c r="F34" s="413">
        <f t="shared" si="4"/>
        <v>18434</v>
      </c>
      <c r="G34" s="413">
        <f t="shared" si="4"/>
        <v>750</v>
      </c>
      <c r="H34" s="413">
        <f t="shared" si="4"/>
        <v>0</v>
      </c>
      <c r="I34" s="413">
        <f t="shared" si="4"/>
        <v>244</v>
      </c>
      <c r="J34" s="121"/>
    </row>
    <row r="35" spans="2:10" ht="14.25" thickTop="1" thickBot="1">
      <c r="B35" s="272" t="s">
        <v>170</v>
      </c>
      <c r="C35" s="413">
        <f>SUM(D35:I35)</f>
        <v>89948</v>
      </c>
      <c r="D35" s="413">
        <v>151</v>
      </c>
      <c r="E35" s="413">
        <v>79408</v>
      </c>
      <c r="F35" s="413">
        <v>10280</v>
      </c>
      <c r="G35" s="413">
        <v>109</v>
      </c>
      <c r="H35" s="413" t="s">
        <v>156</v>
      </c>
      <c r="I35" s="413" t="s">
        <v>156</v>
      </c>
      <c r="J35" s="121"/>
    </row>
    <row r="36" spans="2:10" ht="14.25" thickTop="1" thickBot="1">
      <c r="B36" s="272" t="s">
        <v>171</v>
      </c>
      <c r="C36" s="413">
        <f>SUM(D36:I36)</f>
        <v>7230</v>
      </c>
      <c r="D36" s="413">
        <v>121</v>
      </c>
      <c r="E36" s="413">
        <v>6043</v>
      </c>
      <c r="F36" s="413">
        <v>933</v>
      </c>
      <c r="G36" s="413">
        <v>133</v>
      </c>
      <c r="H36" s="413" t="s">
        <v>156</v>
      </c>
      <c r="I36" s="413" t="s">
        <v>156</v>
      </c>
      <c r="J36" s="121"/>
    </row>
    <row r="37" spans="2:10" ht="14.25" thickTop="1" thickBot="1">
      <c r="B37" s="272" t="s">
        <v>172</v>
      </c>
      <c r="C37" s="413">
        <f>SUM(D37:I37)</f>
        <v>22325</v>
      </c>
      <c r="D37" s="413">
        <v>122</v>
      </c>
      <c r="E37" s="413">
        <v>15868</v>
      </c>
      <c r="F37" s="413">
        <v>5827</v>
      </c>
      <c r="G37" s="413">
        <v>508</v>
      </c>
      <c r="H37" s="413" t="s">
        <v>156</v>
      </c>
      <c r="I37" s="413" t="s">
        <v>156</v>
      </c>
      <c r="J37" s="121"/>
    </row>
    <row r="38" spans="2:10" ht="14.25" thickTop="1" thickBot="1">
      <c r="B38" s="272" t="s">
        <v>173</v>
      </c>
      <c r="C38" s="413">
        <f>SUM(D38:I38)</f>
        <v>2102</v>
      </c>
      <c r="D38" s="413" t="s">
        <v>156</v>
      </c>
      <c r="E38" s="413">
        <v>1858</v>
      </c>
      <c r="F38" s="413" t="s">
        <v>156</v>
      </c>
      <c r="G38" s="413" t="s">
        <v>156</v>
      </c>
      <c r="H38" s="413" t="s">
        <v>156</v>
      </c>
      <c r="I38" s="413">
        <v>244</v>
      </c>
      <c r="J38" s="121"/>
    </row>
    <row r="39" spans="2:10" ht="14.25" thickTop="1" thickBot="1">
      <c r="B39" s="272" t="s">
        <v>174</v>
      </c>
      <c r="C39" s="413">
        <f>SUM(D39:I39)</f>
        <v>15861</v>
      </c>
      <c r="D39" s="413" t="s">
        <v>156</v>
      </c>
      <c r="E39" s="413">
        <v>14467</v>
      </c>
      <c r="F39" s="413">
        <v>1394</v>
      </c>
      <c r="G39" s="413" t="s">
        <v>156</v>
      </c>
      <c r="H39" s="413" t="s">
        <v>156</v>
      </c>
      <c r="I39" s="413" t="s">
        <v>156</v>
      </c>
      <c r="J39" s="121"/>
    </row>
    <row r="40" spans="2:10" ht="14.25" thickTop="1" thickBot="1">
      <c r="B40" s="272"/>
      <c r="C40" s="422"/>
      <c r="D40" s="422"/>
      <c r="E40" s="422"/>
      <c r="F40" s="422"/>
      <c r="G40" s="422"/>
      <c r="H40" s="422"/>
      <c r="I40" s="422"/>
      <c r="J40" s="121"/>
    </row>
    <row r="41" spans="2:10" ht="14.25" thickTop="1" thickBot="1">
      <c r="B41" s="272" t="s">
        <v>120</v>
      </c>
      <c r="C41" s="422">
        <f>SUM(C42:C46)</f>
        <v>119167</v>
      </c>
      <c r="D41" s="422">
        <f t="shared" ref="D41:I41" si="5">SUM(D42:D46)</f>
        <v>151</v>
      </c>
      <c r="E41" s="422">
        <f t="shared" si="5"/>
        <v>99428</v>
      </c>
      <c r="F41" s="422">
        <f t="shared" si="5"/>
        <v>18430</v>
      </c>
      <c r="G41" s="422">
        <f t="shared" si="5"/>
        <v>336</v>
      </c>
      <c r="H41" s="422">
        <f t="shared" si="5"/>
        <v>0</v>
      </c>
      <c r="I41" s="422">
        <f t="shared" si="5"/>
        <v>822</v>
      </c>
      <c r="J41" s="121"/>
    </row>
    <row r="42" spans="2:10" ht="14.25" thickTop="1" thickBot="1">
      <c r="B42" s="272" t="s">
        <v>170</v>
      </c>
      <c r="C42" s="422">
        <f>SUM(D42:I42)</f>
        <v>73878</v>
      </c>
      <c r="D42" s="413" t="s">
        <v>156</v>
      </c>
      <c r="E42" s="422">
        <v>64059</v>
      </c>
      <c r="F42" s="422">
        <v>9245</v>
      </c>
      <c r="G42" s="422">
        <v>154</v>
      </c>
      <c r="H42" s="422" t="s">
        <v>156</v>
      </c>
      <c r="I42" s="422">
        <v>420</v>
      </c>
      <c r="J42" s="121"/>
    </row>
    <row r="43" spans="2:10" ht="14.25" thickTop="1" thickBot="1">
      <c r="B43" s="272" t="s">
        <v>171</v>
      </c>
      <c r="C43" s="422">
        <f>SUM(D43:I43)</f>
        <v>6585</v>
      </c>
      <c r="D43" s="413" t="s">
        <v>156</v>
      </c>
      <c r="E43" s="413">
        <v>5597</v>
      </c>
      <c r="F43" s="413">
        <v>988</v>
      </c>
      <c r="G43" s="413" t="s">
        <v>156</v>
      </c>
      <c r="H43" s="413" t="s">
        <v>156</v>
      </c>
      <c r="I43" s="413" t="s">
        <v>156</v>
      </c>
      <c r="J43" s="121"/>
    </row>
    <row r="44" spans="2:10" ht="14.25" thickTop="1" thickBot="1">
      <c r="B44" s="272" t="s">
        <v>172</v>
      </c>
      <c r="C44" s="422">
        <f>SUM(D44:I44)</f>
        <v>21069</v>
      </c>
      <c r="D44" s="413">
        <v>151</v>
      </c>
      <c r="E44" s="413">
        <v>15417</v>
      </c>
      <c r="F44" s="413">
        <v>5319</v>
      </c>
      <c r="G44" s="413">
        <v>182</v>
      </c>
      <c r="H44" s="413" t="s">
        <v>156</v>
      </c>
      <c r="I44" s="413" t="s">
        <v>156</v>
      </c>
      <c r="J44" s="121"/>
    </row>
    <row r="45" spans="2:10" ht="14.25" thickTop="1" thickBot="1">
      <c r="B45" s="272" t="s">
        <v>173</v>
      </c>
      <c r="C45" s="422">
        <f>SUM(D45:I45)</f>
        <v>2626</v>
      </c>
      <c r="D45" s="413" t="s">
        <v>156</v>
      </c>
      <c r="E45" s="413">
        <v>1803</v>
      </c>
      <c r="F45" s="413">
        <v>421</v>
      </c>
      <c r="G45" s="413" t="s">
        <v>156</v>
      </c>
      <c r="H45" s="413" t="s">
        <v>156</v>
      </c>
      <c r="I45" s="413">
        <v>402</v>
      </c>
      <c r="J45" s="121"/>
    </row>
    <row r="46" spans="2:10" ht="14.25" thickTop="1" thickBot="1">
      <c r="B46" s="272" t="s">
        <v>174</v>
      </c>
      <c r="C46" s="422">
        <f>SUM(D46:I46)</f>
        <v>15009</v>
      </c>
      <c r="D46" s="413" t="s">
        <v>156</v>
      </c>
      <c r="E46" s="413">
        <v>12552</v>
      </c>
      <c r="F46" s="413">
        <v>2457</v>
      </c>
      <c r="G46" s="413" t="s">
        <v>156</v>
      </c>
      <c r="H46" s="413" t="s">
        <v>156</v>
      </c>
      <c r="I46" s="413" t="s">
        <v>156</v>
      </c>
      <c r="J46" s="121"/>
    </row>
    <row r="47" spans="2:10" ht="14.25" thickTop="1" thickBot="1">
      <c r="B47" s="272"/>
      <c r="C47" s="422"/>
      <c r="D47" s="413"/>
      <c r="E47" s="413"/>
      <c r="F47" s="413"/>
      <c r="G47" s="413"/>
      <c r="H47" s="413"/>
      <c r="I47" s="413"/>
      <c r="J47" s="121"/>
    </row>
    <row r="48" spans="2:10" ht="16.5" thickTop="1" thickBot="1">
      <c r="B48" s="272" t="s">
        <v>103</v>
      </c>
      <c r="C48" s="413">
        <f>SUM(C49:C53)</f>
        <v>1540029</v>
      </c>
      <c r="D48" s="413">
        <f t="shared" ref="D48:I48" si="6">SUM(D49:D53)</f>
        <v>45904</v>
      </c>
      <c r="E48" s="413">
        <f t="shared" si="6"/>
        <v>926944</v>
      </c>
      <c r="F48" s="413">
        <f t="shared" si="6"/>
        <v>522492</v>
      </c>
      <c r="G48" s="413">
        <f t="shared" si="6"/>
        <v>37288</v>
      </c>
      <c r="H48" s="413">
        <f t="shared" si="6"/>
        <v>1349</v>
      </c>
      <c r="I48" s="413">
        <f t="shared" si="6"/>
        <v>6052</v>
      </c>
      <c r="J48" s="120"/>
    </row>
    <row r="49" spans="2:16" ht="16.5" thickTop="1" thickBot="1">
      <c r="B49" s="272" t="s">
        <v>170</v>
      </c>
      <c r="C49" s="413">
        <f>SUM(D49:I49)</f>
        <v>954581</v>
      </c>
      <c r="D49" s="413">
        <v>17185</v>
      </c>
      <c r="E49" s="413">
        <v>626388</v>
      </c>
      <c r="F49" s="413">
        <v>301971</v>
      </c>
      <c r="G49" s="413">
        <v>6844</v>
      </c>
      <c r="H49" s="413" t="s">
        <v>156</v>
      </c>
      <c r="I49" s="413">
        <v>2193</v>
      </c>
      <c r="J49" s="120"/>
    </row>
    <row r="50" spans="2:16" ht="16.5" thickTop="1" thickBot="1">
      <c r="B50" s="272" t="s">
        <v>171</v>
      </c>
      <c r="C50" s="413">
        <f>SUM(D50:I50)</f>
        <v>143964</v>
      </c>
      <c r="D50" s="413">
        <v>15818</v>
      </c>
      <c r="E50" s="413">
        <v>78174</v>
      </c>
      <c r="F50" s="413">
        <v>48437</v>
      </c>
      <c r="G50" s="413">
        <v>1535</v>
      </c>
      <c r="H50" s="413" t="s">
        <v>156</v>
      </c>
      <c r="I50" s="413" t="s">
        <v>156</v>
      </c>
      <c r="J50" s="120"/>
    </row>
    <row r="51" spans="2:16" ht="16.5" thickTop="1" thickBot="1">
      <c r="B51" s="272" t="s">
        <v>172</v>
      </c>
      <c r="C51" s="413">
        <f>SUM(D51:I51)</f>
        <v>285531</v>
      </c>
      <c r="D51" s="413">
        <v>11438</v>
      </c>
      <c r="E51" s="413">
        <v>117623</v>
      </c>
      <c r="F51" s="413">
        <v>127587</v>
      </c>
      <c r="G51" s="413">
        <v>27534</v>
      </c>
      <c r="H51" s="413">
        <v>1349</v>
      </c>
      <c r="I51" s="413" t="s">
        <v>156</v>
      </c>
      <c r="J51" s="120"/>
    </row>
    <row r="52" spans="2:16" ht="16.5" thickTop="1" thickBot="1">
      <c r="B52" s="272" t="s">
        <v>173</v>
      </c>
      <c r="C52" s="413">
        <f>SUM(D52:I52)</f>
        <v>27102</v>
      </c>
      <c r="D52" s="413" t="s">
        <v>156</v>
      </c>
      <c r="E52" s="413">
        <v>9126</v>
      </c>
      <c r="F52" s="413">
        <v>14930</v>
      </c>
      <c r="G52" s="413" t="s">
        <v>156</v>
      </c>
      <c r="H52" s="413" t="s">
        <v>156</v>
      </c>
      <c r="I52" s="413">
        <v>3046</v>
      </c>
      <c r="J52" s="120"/>
    </row>
    <row r="53" spans="2:16" ht="16.5" thickTop="1" thickBot="1">
      <c r="B53" s="272" t="s">
        <v>174</v>
      </c>
      <c r="C53" s="413">
        <f>SUM(D53:I53)</f>
        <v>128851</v>
      </c>
      <c r="D53" s="413">
        <v>1463</v>
      </c>
      <c r="E53" s="413">
        <v>95633</v>
      </c>
      <c r="F53" s="413">
        <v>29567</v>
      </c>
      <c r="G53" s="413">
        <v>1375</v>
      </c>
      <c r="H53" s="413" t="s">
        <v>156</v>
      </c>
      <c r="I53" s="413">
        <v>813</v>
      </c>
      <c r="J53" s="120"/>
    </row>
    <row r="54" spans="2:16" ht="15.75" thickTop="1" thickBot="1">
      <c r="B54" s="293"/>
      <c r="C54" s="308"/>
      <c r="D54" s="308"/>
      <c r="E54" s="308"/>
      <c r="F54" s="308"/>
      <c r="G54" s="308"/>
      <c r="H54" s="308"/>
      <c r="I54" s="237"/>
    </row>
    <row r="55" spans="2:16" ht="14.25" thickTop="1" thickBot="1">
      <c r="B55" s="478" t="s">
        <v>513</v>
      </c>
      <c r="C55" s="479"/>
      <c r="D55" s="479"/>
      <c r="E55" s="479"/>
      <c r="F55" s="479"/>
      <c r="G55" s="479"/>
      <c r="H55" s="479"/>
      <c r="I55" s="479"/>
      <c r="J55"/>
      <c r="K55"/>
      <c r="L55"/>
      <c r="M55"/>
      <c r="N55"/>
      <c r="O55"/>
      <c r="P55"/>
    </row>
    <row r="56" spans="2:16" ht="13.5" thickTop="1">
      <c r="D56" s="533"/>
      <c r="E56" s="533"/>
      <c r="F56" s="533"/>
      <c r="G56" s="533"/>
      <c r="I56"/>
      <c r="J56"/>
      <c r="K56"/>
      <c r="L56"/>
      <c r="M56"/>
      <c r="N56"/>
      <c r="O56"/>
      <c r="P56"/>
    </row>
    <row r="57" spans="2:16">
      <c r="C57" s="183"/>
      <c r="D57" s="123"/>
      <c r="I57"/>
      <c r="J57"/>
      <c r="K57"/>
      <c r="L57"/>
      <c r="M57"/>
      <c r="N57"/>
      <c r="O57"/>
      <c r="P57"/>
    </row>
    <row r="58" spans="2:16">
      <c r="B58" s="123"/>
      <c r="C58" s="123"/>
      <c r="D58" s="123"/>
      <c r="E58" s="123"/>
      <c r="F58" s="123"/>
      <c r="I58"/>
      <c r="J58"/>
      <c r="K58"/>
      <c r="L58"/>
      <c r="M58"/>
      <c r="N58"/>
      <c r="O58"/>
      <c r="P58"/>
    </row>
    <row r="59" spans="2:16">
      <c r="C59" s="123"/>
      <c r="D59" s="123"/>
      <c r="F59" s="123"/>
      <c r="G59" s="123"/>
      <c r="H59" s="123"/>
      <c r="I59"/>
      <c r="J59"/>
      <c r="K59"/>
      <c r="L59"/>
      <c r="M59"/>
      <c r="N59"/>
      <c r="O59"/>
      <c r="P59"/>
    </row>
    <row r="60" spans="2:16">
      <c r="C60" s="123"/>
      <c r="D60" s="123"/>
      <c r="F60" s="123"/>
      <c r="I60"/>
      <c r="J60"/>
      <c r="K60"/>
      <c r="L60"/>
      <c r="M60"/>
      <c r="N60"/>
      <c r="O60"/>
      <c r="P60"/>
    </row>
    <row r="61" spans="2:16">
      <c r="C61" s="123"/>
      <c r="D61" s="123"/>
      <c r="F61" s="123"/>
      <c r="I61"/>
      <c r="J61"/>
      <c r="K61"/>
      <c r="L61"/>
      <c r="M61"/>
      <c r="N61"/>
      <c r="O61"/>
      <c r="P61"/>
    </row>
    <row r="62" spans="2:16">
      <c r="C62" s="123"/>
      <c r="D62" s="123"/>
      <c r="F62" s="123"/>
      <c r="I62"/>
      <c r="J62"/>
      <c r="K62"/>
      <c r="L62"/>
      <c r="M62"/>
      <c r="N62"/>
      <c r="O62"/>
      <c r="P62"/>
    </row>
    <row r="63" spans="2:16">
      <c r="C63" s="123"/>
      <c r="F63" s="123"/>
      <c r="I63"/>
      <c r="J63"/>
      <c r="K63"/>
      <c r="L63"/>
      <c r="M63"/>
      <c r="N63"/>
      <c r="O63"/>
      <c r="P63"/>
    </row>
    <row r="64" spans="2:16">
      <c r="C64" s="123"/>
      <c r="F64" s="123"/>
      <c r="I64"/>
      <c r="J64"/>
      <c r="K64"/>
      <c r="L64"/>
      <c r="M64"/>
      <c r="N64"/>
      <c r="O64"/>
      <c r="P64"/>
    </row>
    <row r="65" spans="3:3">
      <c r="C65" s="123"/>
    </row>
  </sheetData>
  <mergeCells count="7">
    <mergeCell ref="D56:G56"/>
    <mergeCell ref="B4:B5"/>
    <mergeCell ref="C4:C5"/>
    <mergeCell ref="D4:I4"/>
    <mergeCell ref="B2:I2"/>
    <mergeCell ref="B3:I3"/>
    <mergeCell ref="B55:I55"/>
  </mergeCells>
  <hyperlinks>
    <hyperlink ref="B3:I3" location="'Capitulo 3'!B32" display=" Total de viviendas ocupadas por tipo de vivienda, según tipo de tenencia y región. 2018." xr:uid="{00000000-0004-0000-1B00-000000000000}"/>
  </hyperlinks>
  <pageMargins left="0.75" right="0.75" top="1" bottom="1" header="0" footer="0"/>
  <pageSetup orientation="landscape" horizontalDpi="180" verticalDpi="180" r:id="rId1"/>
  <headerFooter alignWithMargins="0"/>
  <ignoredErrors>
    <ignoredError sqref="C13 C20 C27 C34:I34 C41:I41 C48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N72"/>
  <sheetViews>
    <sheetView showGridLines="0" zoomScaleNormal="100" workbookViewId="0">
      <pane ySplit="5" topLeftCell="A6" activePane="bottomLeft" state="frozen"/>
      <selection pane="bottomLeft" activeCell="H10" sqref="H10"/>
    </sheetView>
  </sheetViews>
  <sheetFormatPr baseColWidth="10" defaultColWidth="11.42578125" defaultRowHeight="12.75"/>
  <cols>
    <col min="1" max="1" width="11.42578125" customWidth="1"/>
    <col min="2" max="2" width="57" style="3" bestFit="1" customWidth="1"/>
    <col min="3" max="3" width="24.7109375" style="3" customWidth="1"/>
    <col min="4" max="4" width="16" style="3" customWidth="1"/>
    <col min="5" max="5" width="19" style="3" customWidth="1"/>
    <col min="6" max="6" width="18.140625" style="3" customWidth="1"/>
    <col min="7" max="7" width="18.140625" style="3" bestFit="1" customWidth="1"/>
    <col min="8" max="8" width="15.42578125" style="3" bestFit="1" customWidth="1"/>
    <col min="9" max="9" width="16.85546875" style="3" bestFit="1" customWidth="1"/>
    <col min="10" max="10" width="18.140625" style="3" bestFit="1" customWidth="1"/>
    <col min="11" max="13" width="11.42578125" style="3" customWidth="1"/>
  </cols>
  <sheetData>
    <row r="2" spans="2:14" ht="15">
      <c r="B2" s="462" t="s">
        <v>453</v>
      </c>
      <c r="C2" s="462"/>
      <c r="D2" s="462"/>
      <c r="E2" s="462"/>
      <c r="F2" s="462"/>
    </row>
    <row r="3" spans="2:14" ht="16.5" customHeight="1" thickBot="1">
      <c r="B3" s="482" t="s">
        <v>518</v>
      </c>
      <c r="C3" s="482"/>
      <c r="D3" s="482"/>
      <c r="E3" s="482"/>
      <c r="F3" s="482"/>
    </row>
    <row r="4" spans="2:14" ht="14.25" thickTop="1" thickBot="1">
      <c r="B4" s="494" t="s">
        <v>303</v>
      </c>
      <c r="C4" s="494" t="s">
        <v>304</v>
      </c>
      <c r="D4" s="459" t="s">
        <v>284</v>
      </c>
      <c r="E4" s="460"/>
      <c r="F4" s="460"/>
    </row>
    <row r="5" spans="2:14" ht="28.5" customHeight="1" thickTop="1" thickBot="1">
      <c r="B5" s="503"/>
      <c r="C5" s="503"/>
      <c r="D5" s="314" t="s">
        <v>270</v>
      </c>
      <c r="E5" s="314" t="s">
        <v>271</v>
      </c>
      <c r="F5" s="314" t="s">
        <v>283</v>
      </c>
    </row>
    <row r="6" spans="2:14" ht="14.25" thickTop="1" thickBot="1">
      <c r="B6" s="272" t="s">
        <v>139</v>
      </c>
      <c r="C6" s="413">
        <f>SUM(C7:C12)</f>
        <v>965988</v>
      </c>
      <c r="D6" s="413">
        <f>SUM(D7:D12)</f>
        <v>42749</v>
      </c>
      <c r="E6" s="413">
        <f>SUM(E7:E12)</f>
        <v>118580</v>
      </c>
      <c r="F6" s="413">
        <f>SUM(F7:F12)</f>
        <v>804659</v>
      </c>
      <c r="G6" s="183"/>
    </row>
    <row r="7" spans="2:14" ht="14.25" thickTop="1" thickBot="1">
      <c r="B7" s="290" t="s">
        <v>417</v>
      </c>
      <c r="C7" s="413">
        <f>SUM(D7:F7)</f>
        <v>44639</v>
      </c>
      <c r="D7" s="413">
        <v>418</v>
      </c>
      <c r="E7" s="413">
        <v>1300</v>
      </c>
      <c r="F7" s="413">
        <v>42921</v>
      </c>
      <c r="G7" s="183"/>
      <c r="H7" s="183"/>
      <c r="I7" s="183"/>
      <c r="J7" s="183"/>
      <c r="K7" s="183"/>
      <c r="L7" s="183"/>
    </row>
    <row r="8" spans="2:14" ht="14.25" thickTop="1" thickBot="1">
      <c r="B8" s="290" t="s">
        <v>418</v>
      </c>
      <c r="C8" s="413">
        <f t="shared" ref="C8:C60" si="0">SUM(D8:F8)</f>
        <v>460940</v>
      </c>
      <c r="D8" s="413">
        <v>21140</v>
      </c>
      <c r="E8" s="413">
        <v>59924</v>
      </c>
      <c r="F8" s="413">
        <v>379876</v>
      </c>
      <c r="G8" s="183"/>
    </row>
    <row r="9" spans="2:14" ht="16.5" customHeight="1" thickTop="1" thickBot="1">
      <c r="B9" s="290" t="s">
        <v>419</v>
      </c>
      <c r="C9" s="413">
        <f t="shared" si="0"/>
        <v>422254</v>
      </c>
      <c r="D9" s="413">
        <v>19702</v>
      </c>
      <c r="E9" s="413">
        <v>54239</v>
      </c>
      <c r="F9" s="413">
        <v>348313</v>
      </c>
      <c r="G9" s="183"/>
    </row>
    <row r="10" spans="2:14" ht="14.25" thickTop="1" thickBot="1">
      <c r="B10" s="290" t="s">
        <v>422</v>
      </c>
      <c r="C10" s="413">
        <f t="shared" si="0"/>
        <v>33432</v>
      </c>
      <c r="D10" s="423">
        <v>606</v>
      </c>
      <c r="E10" s="423">
        <v>2064</v>
      </c>
      <c r="F10" s="423">
        <v>30762</v>
      </c>
      <c r="G10" s="183"/>
    </row>
    <row r="11" spans="2:14" ht="14.25" thickTop="1" thickBot="1">
      <c r="B11" s="290" t="s">
        <v>420</v>
      </c>
      <c r="C11" s="413">
        <f t="shared" si="0"/>
        <v>1232</v>
      </c>
      <c r="D11" s="413" t="s">
        <v>156</v>
      </c>
      <c r="E11" s="413">
        <v>160</v>
      </c>
      <c r="F11" s="413">
        <v>1072</v>
      </c>
      <c r="G11" s="183"/>
    </row>
    <row r="12" spans="2:14" ht="14.25" thickTop="1" thickBot="1">
      <c r="B12" s="290" t="s">
        <v>421</v>
      </c>
      <c r="C12" s="413">
        <f t="shared" si="0"/>
        <v>3491</v>
      </c>
      <c r="D12" s="413">
        <v>883</v>
      </c>
      <c r="E12" s="413">
        <v>893</v>
      </c>
      <c r="F12" s="413">
        <v>1715</v>
      </c>
      <c r="G12" s="183"/>
      <c r="H12" s="119"/>
    </row>
    <row r="13" spans="2:14" ht="14.25" thickTop="1" thickBot="1">
      <c r="B13" s="290"/>
      <c r="C13" s="413"/>
      <c r="D13" s="413"/>
      <c r="E13" s="413"/>
      <c r="F13" s="413"/>
      <c r="G13" s="183"/>
      <c r="H13" s="119"/>
    </row>
    <row r="14" spans="2:14" ht="15.75" thickTop="1" thickBot="1">
      <c r="B14" s="272" t="s">
        <v>117</v>
      </c>
      <c r="C14" s="413">
        <f>SUM(C15:C20)</f>
        <v>119546</v>
      </c>
      <c r="D14" s="413">
        <f>SUM(D16:D20)</f>
        <v>10520</v>
      </c>
      <c r="E14" s="413">
        <f>SUM(E15:E20)</f>
        <v>20510</v>
      </c>
      <c r="F14" s="413">
        <f>SUM(F15:F20)</f>
        <v>88516</v>
      </c>
      <c r="G14" s="183"/>
      <c r="H14" s="178"/>
      <c r="I14" s="178"/>
      <c r="J14" s="178"/>
      <c r="K14" s="122"/>
      <c r="L14" s="122"/>
      <c r="M14" s="122"/>
      <c r="N14" s="122"/>
    </row>
    <row r="15" spans="2:14" ht="14.25" thickTop="1" thickBot="1">
      <c r="B15" s="290" t="s">
        <v>417</v>
      </c>
      <c r="C15" s="413">
        <f t="shared" si="0"/>
        <v>558</v>
      </c>
      <c r="D15" s="412" t="s">
        <v>156</v>
      </c>
      <c r="E15" s="413" t="s">
        <v>156</v>
      </c>
      <c r="F15" s="413">
        <v>558</v>
      </c>
      <c r="G15" s="183"/>
    </row>
    <row r="16" spans="2:14" ht="14.25" thickTop="1" thickBot="1">
      <c r="B16" s="290" t="s">
        <v>418</v>
      </c>
      <c r="C16" s="413">
        <f t="shared" si="0"/>
        <v>85717</v>
      </c>
      <c r="D16" s="413">
        <v>8186</v>
      </c>
      <c r="E16" s="413">
        <v>14366</v>
      </c>
      <c r="F16" s="413">
        <v>63165</v>
      </c>
      <c r="G16" s="183"/>
    </row>
    <row r="17" spans="1:10" ht="14.25" thickTop="1" thickBot="1">
      <c r="B17" s="290" t="s">
        <v>419</v>
      </c>
      <c r="C17" s="413">
        <f t="shared" si="0"/>
        <v>31277</v>
      </c>
      <c r="D17" s="413">
        <v>2050</v>
      </c>
      <c r="E17" s="413">
        <v>5767</v>
      </c>
      <c r="F17" s="413">
        <v>23460</v>
      </c>
      <c r="G17" s="183"/>
    </row>
    <row r="18" spans="1:10" ht="14.25" thickTop="1" thickBot="1">
      <c r="B18" s="290" t="s">
        <v>422</v>
      </c>
      <c r="C18" s="413">
        <f t="shared" si="0"/>
        <v>1457</v>
      </c>
      <c r="D18" s="413" t="s">
        <v>156</v>
      </c>
      <c r="E18" s="413">
        <v>124</v>
      </c>
      <c r="F18" s="413">
        <v>1333</v>
      </c>
      <c r="G18" s="183"/>
    </row>
    <row r="19" spans="1:10" ht="14.25" thickTop="1" thickBot="1">
      <c r="B19" s="290" t="s">
        <v>420</v>
      </c>
      <c r="C19" s="413">
        <f t="shared" si="0"/>
        <v>117</v>
      </c>
      <c r="D19" s="413" t="s">
        <v>156</v>
      </c>
      <c r="E19" s="413">
        <v>117</v>
      </c>
      <c r="F19" s="413" t="s">
        <v>156</v>
      </c>
      <c r="G19" s="183"/>
    </row>
    <row r="20" spans="1:10" ht="14.25" thickTop="1" thickBot="1">
      <c r="B20" s="290" t="s">
        <v>421</v>
      </c>
      <c r="C20" s="413">
        <f>SUM(D20:F20)</f>
        <v>420</v>
      </c>
      <c r="D20" s="413">
        <v>284</v>
      </c>
      <c r="E20" s="413">
        <v>136</v>
      </c>
      <c r="F20" s="413" t="s">
        <v>156</v>
      </c>
      <c r="G20" s="183"/>
    </row>
    <row r="21" spans="1:10" ht="14.25" thickTop="1" thickBot="1">
      <c r="B21" s="290"/>
      <c r="C21" s="413"/>
      <c r="D21" s="413"/>
      <c r="E21" s="413"/>
      <c r="F21" s="413"/>
      <c r="G21" s="183"/>
    </row>
    <row r="22" spans="1:10" ht="14.25" thickTop="1" thickBot="1">
      <c r="B22" s="272" t="s">
        <v>118</v>
      </c>
      <c r="C22" s="413">
        <f>SUM(C23:C28)</f>
        <v>93040</v>
      </c>
      <c r="D22" s="413">
        <f>SUM(D23:D28)</f>
        <v>8181</v>
      </c>
      <c r="E22" s="413">
        <f>SUM(E23:E28)</f>
        <v>15755</v>
      </c>
      <c r="F22" s="413">
        <f>SUM(F23:F28)</f>
        <v>69104</v>
      </c>
      <c r="G22" s="183"/>
      <c r="H22" s="121"/>
      <c r="I22" s="121"/>
      <c r="J22" s="121"/>
    </row>
    <row r="23" spans="1:10" ht="14.25" thickTop="1" thickBot="1">
      <c r="A23" s="181"/>
      <c r="B23" s="290" t="s">
        <v>417</v>
      </c>
      <c r="C23" s="413">
        <f t="shared" si="0"/>
        <v>377</v>
      </c>
      <c r="D23" s="413" t="s">
        <v>156</v>
      </c>
      <c r="E23" s="413">
        <v>128</v>
      </c>
      <c r="F23" s="413">
        <v>249</v>
      </c>
      <c r="G23" s="183"/>
    </row>
    <row r="24" spans="1:10" ht="14.25" thickTop="1" thickBot="1">
      <c r="B24" s="290" t="s">
        <v>418</v>
      </c>
      <c r="C24" s="413">
        <f t="shared" si="0"/>
        <v>63727</v>
      </c>
      <c r="D24" s="413">
        <v>4615</v>
      </c>
      <c r="E24" s="413">
        <v>10094</v>
      </c>
      <c r="F24" s="413">
        <v>49018</v>
      </c>
      <c r="G24" s="183"/>
    </row>
    <row r="25" spans="1:10" ht="14.25" thickTop="1" thickBot="1">
      <c r="B25" s="290" t="s">
        <v>419</v>
      </c>
      <c r="C25" s="413">
        <f t="shared" si="0"/>
        <v>27724</v>
      </c>
      <c r="D25" s="413">
        <v>3438</v>
      </c>
      <c r="E25" s="413">
        <v>5067</v>
      </c>
      <c r="F25" s="413">
        <v>19219</v>
      </c>
      <c r="G25" s="183"/>
    </row>
    <row r="26" spans="1:10" ht="14.25" thickTop="1" thickBot="1">
      <c r="B26" s="290" t="s">
        <v>422</v>
      </c>
      <c r="C26" s="413">
        <f t="shared" si="0"/>
        <v>618</v>
      </c>
      <c r="D26" s="413" t="s">
        <v>156</v>
      </c>
      <c r="E26" s="413" t="s">
        <v>156</v>
      </c>
      <c r="F26" s="413">
        <v>618</v>
      </c>
      <c r="G26" s="183"/>
    </row>
    <row r="27" spans="1:10" ht="14.25" thickTop="1" thickBot="1">
      <c r="B27" s="290" t="s">
        <v>420</v>
      </c>
      <c r="C27" s="413">
        <f t="shared" si="0"/>
        <v>0</v>
      </c>
      <c r="D27" s="413" t="s">
        <v>156</v>
      </c>
      <c r="E27" s="413" t="s">
        <v>156</v>
      </c>
      <c r="F27" s="413" t="s">
        <v>156</v>
      </c>
      <c r="G27" s="183"/>
    </row>
    <row r="28" spans="1:10" ht="14.25" thickTop="1" thickBot="1">
      <c r="B28" s="290" t="s">
        <v>421</v>
      </c>
      <c r="C28" s="413">
        <f t="shared" si="0"/>
        <v>594</v>
      </c>
      <c r="D28" s="413">
        <v>128</v>
      </c>
      <c r="E28" s="413">
        <v>466</v>
      </c>
      <c r="F28" s="413" t="s">
        <v>156</v>
      </c>
      <c r="G28" s="183"/>
    </row>
    <row r="29" spans="1:10" ht="14.25" thickTop="1" thickBot="1">
      <c r="B29" s="290"/>
      <c r="C29" s="413"/>
      <c r="D29" s="413"/>
      <c r="E29" s="413"/>
      <c r="F29" s="413"/>
      <c r="G29" s="183"/>
    </row>
    <row r="30" spans="1:10" ht="14.25" thickTop="1" thickBot="1">
      <c r="B30" s="272" t="s">
        <v>119</v>
      </c>
      <c r="C30" s="413">
        <f>SUM(C31:C36)</f>
        <v>124023</v>
      </c>
      <c r="D30" s="413">
        <f>SUM(D31:D36)</f>
        <v>12469</v>
      </c>
      <c r="E30" s="413">
        <f>SUM(E31:E36)</f>
        <v>27514</v>
      </c>
      <c r="F30" s="413">
        <f>SUM(F31:F36)</f>
        <v>84040</v>
      </c>
      <c r="G30" s="183"/>
      <c r="H30" s="121"/>
      <c r="I30" s="121"/>
      <c r="J30" s="121"/>
    </row>
    <row r="31" spans="1:10" ht="14.25" thickTop="1" thickBot="1">
      <c r="B31" s="290" t="s">
        <v>417</v>
      </c>
      <c r="C31" s="413">
        <f t="shared" si="0"/>
        <v>393</v>
      </c>
      <c r="D31" s="413" t="s">
        <v>156</v>
      </c>
      <c r="E31" s="413">
        <v>120</v>
      </c>
      <c r="F31" s="413">
        <v>273</v>
      </c>
      <c r="G31" s="183"/>
    </row>
    <row r="32" spans="1:10" ht="14.25" thickTop="1" thickBot="1">
      <c r="B32" s="290" t="s">
        <v>418</v>
      </c>
      <c r="C32" s="413">
        <f t="shared" si="0"/>
        <v>107686</v>
      </c>
      <c r="D32" s="413">
        <v>11330</v>
      </c>
      <c r="E32" s="413">
        <v>24342</v>
      </c>
      <c r="F32" s="413">
        <v>72014</v>
      </c>
      <c r="G32" s="183"/>
    </row>
    <row r="33" spans="2:10" ht="14.25" thickTop="1" thickBot="1">
      <c r="B33" s="290" t="s">
        <v>419</v>
      </c>
      <c r="C33" s="413">
        <f t="shared" si="0"/>
        <v>13855</v>
      </c>
      <c r="D33" s="413">
        <v>858</v>
      </c>
      <c r="E33" s="413">
        <v>2656</v>
      </c>
      <c r="F33" s="413">
        <v>10341</v>
      </c>
      <c r="G33" s="183"/>
    </row>
    <row r="34" spans="2:10" ht="14.25" thickTop="1" thickBot="1">
      <c r="B34" s="290" t="s">
        <v>422</v>
      </c>
      <c r="C34" s="413">
        <f t="shared" si="0"/>
        <v>1608</v>
      </c>
      <c r="D34" s="413">
        <v>133</v>
      </c>
      <c r="E34" s="413">
        <v>285</v>
      </c>
      <c r="F34" s="413">
        <v>1190</v>
      </c>
      <c r="G34" s="183"/>
    </row>
    <row r="35" spans="2:10" ht="14.25" thickTop="1" thickBot="1">
      <c r="B35" s="290" t="s">
        <v>420</v>
      </c>
      <c r="C35" s="413">
        <f t="shared" si="0"/>
        <v>0</v>
      </c>
      <c r="D35" s="413" t="s">
        <v>156</v>
      </c>
      <c r="E35" s="413" t="s">
        <v>156</v>
      </c>
      <c r="F35" s="413" t="s">
        <v>156</v>
      </c>
      <c r="G35" s="183"/>
    </row>
    <row r="36" spans="2:10" ht="14.25" thickTop="1" thickBot="1">
      <c r="B36" s="290" t="s">
        <v>421</v>
      </c>
      <c r="C36" s="413">
        <f t="shared" si="0"/>
        <v>481</v>
      </c>
      <c r="D36" s="413">
        <v>148</v>
      </c>
      <c r="E36" s="413">
        <v>111</v>
      </c>
      <c r="F36" s="413">
        <v>222</v>
      </c>
      <c r="G36" s="183"/>
    </row>
    <row r="37" spans="2:10" ht="14.25" thickTop="1" thickBot="1">
      <c r="B37" s="290"/>
      <c r="C37" s="413"/>
      <c r="D37" s="413"/>
      <c r="E37" s="413"/>
      <c r="F37" s="413"/>
      <c r="G37" s="183"/>
    </row>
    <row r="38" spans="2:10" ht="14.25" thickTop="1" thickBot="1">
      <c r="B38" s="272" t="s">
        <v>275</v>
      </c>
      <c r="C38" s="413">
        <f>SUM(C39:C44)</f>
        <v>138595</v>
      </c>
      <c r="D38" s="413">
        <f>SUM(D39:D44)</f>
        <v>13916</v>
      </c>
      <c r="E38" s="413">
        <f>SUM(E40:E44)</f>
        <v>24124</v>
      </c>
      <c r="F38" s="413">
        <f>SUM(F39:F44)</f>
        <v>100555</v>
      </c>
      <c r="G38" s="183"/>
      <c r="H38" s="121"/>
      <c r="I38" s="121"/>
      <c r="J38" s="121"/>
    </row>
    <row r="39" spans="2:10" ht="14.25" thickTop="1" thickBot="1">
      <c r="B39" s="290" t="s">
        <v>417</v>
      </c>
      <c r="C39" s="413">
        <f t="shared" si="0"/>
        <v>394</v>
      </c>
      <c r="D39" s="413" t="s">
        <v>156</v>
      </c>
      <c r="E39" s="412" t="s">
        <v>156</v>
      </c>
      <c r="F39" s="413">
        <v>394</v>
      </c>
      <c r="G39" s="183"/>
    </row>
    <row r="40" spans="2:10" ht="14.25" thickTop="1" thickBot="1">
      <c r="B40" s="290" t="s">
        <v>418</v>
      </c>
      <c r="C40" s="413">
        <f t="shared" si="0"/>
        <v>118358</v>
      </c>
      <c r="D40" s="413">
        <v>12275</v>
      </c>
      <c r="E40" s="413">
        <v>20397</v>
      </c>
      <c r="F40" s="413">
        <v>85686</v>
      </c>
      <c r="G40" s="183"/>
    </row>
    <row r="41" spans="2:10" ht="14.25" thickTop="1" thickBot="1">
      <c r="B41" s="290" t="s">
        <v>419</v>
      </c>
      <c r="C41" s="413">
        <f t="shared" si="0"/>
        <v>18849</v>
      </c>
      <c r="D41" s="413">
        <v>1276</v>
      </c>
      <c r="E41" s="413">
        <v>3727</v>
      </c>
      <c r="F41" s="413">
        <v>13846</v>
      </c>
      <c r="G41" s="183"/>
    </row>
    <row r="42" spans="2:10" ht="14.25" thickTop="1" thickBot="1">
      <c r="B42" s="290" t="s">
        <v>422</v>
      </c>
      <c r="C42" s="413">
        <f t="shared" si="0"/>
        <v>750</v>
      </c>
      <c r="D42" s="413">
        <v>121</v>
      </c>
      <c r="E42" s="413" t="s">
        <v>156</v>
      </c>
      <c r="F42" s="413">
        <v>629</v>
      </c>
      <c r="G42" s="183"/>
    </row>
    <row r="43" spans="2:10" ht="14.25" thickTop="1" thickBot="1">
      <c r="B43" s="290" t="s">
        <v>420</v>
      </c>
      <c r="C43" s="413">
        <f t="shared" si="0"/>
        <v>0</v>
      </c>
      <c r="D43" s="413" t="s">
        <v>156</v>
      </c>
      <c r="E43" s="413" t="s">
        <v>156</v>
      </c>
      <c r="F43" s="413" t="s">
        <v>156</v>
      </c>
      <c r="G43" s="183"/>
    </row>
    <row r="44" spans="2:10" ht="14.25" thickTop="1" thickBot="1">
      <c r="B44" s="290" t="s">
        <v>421</v>
      </c>
      <c r="C44" s="413">
        <f t="shared" si="0"/>
        <v>244</v>
      </c>
      <c r="D44" s="413">
        <v>244</v>
      </c>
      <c r="E44" s="413" t="s">
        <v>156</v>
      </c>
      <c r="F44" s="413" t="s">
        <v>156</v>
      </c>
      <c r="G44" s="183"/>
    </row>
    <row r="45" spans="2:10" ht="14.25" thickTop="1" thickBot="1">
      <c r="B45" s="290"/>
      <c r="C45" s="413"/>
      <c r="D45" s="413"/>
      <c r="E45" s="413"/>
      <c r="F45" s="413"/>
      <c r="G45" s="183"/>
    </row>
    <row r="46" spans="2:10" ht="14.25" thickTop="1" thickBot="1">
      <c r="B46" s="272" t="s">
        <v>120</v>
      </c>
      <c r="C46" s="413">
        <f>SUM(C47:C52)</f>
        <v>120445</v>
      </c>
      <c r="D46" s="413">
        <f>SUM(D47:D52)</f>
        <v>11199</v>
      </c>
      <c r="E46" s="413">
        <f>SUM(E47:E52)</f>
        <v>23331</v>
      </c>
      <c r="F46" s="413">
        <f>SUM(F47:F52)</f>
        <v>85915</v>
      </c>
      <c r="G46" s="183"/>
      <c r="H46" s="121"/>
      <c r="I46" s="121"/>
      <c r="J46" s="121"/>
    </row>
    <row r="47" spans="2:10" ht="14.25" thickTop="1" thickBot="1">
      <c r="B47" s="290" t="s">
        <v>417</v>
      </c>
      <c r="C47" s="413">
        <f t="shared" si="0"/>
        <v>151</v>
      </c>
      <c r="D47" s="413" t="s">
        <v>156</v>
      </c>
      <c r="E47" s="413" t="s">
        <v>156</v>
      </c>
      <c r="F47" s="413">
        <v>151</v>
      </c>
      <c r="G47" s="183"/>
    </row>
    <row r="48" spans="2:10" ht="14.25" thickTop="1" thickBot="1">
      <c r="B48" s="290" t="s">
        <v>418</v>
      </c>
      <c r="C48" s="413">
        <f t="shared" si="0"/>
        <v>100706</v>
      </c>
      <c r="D48" s="413">
        <v>8661</v>
      </c>
      <c r="E48" s="413">
        <v>20596</v>
      </c>
      <c r="F48" s="413">
        <v>71449</v>
      </c>
      <c r="G48" s="183"/>
    </row>
    <row r="49" spans="2:13" ht="14.25" thickTop="1" thickBot="1">
      <c r="B49" s="290" t="s">
        <v>419</v>
      </c>
      <c r="C49" s="413">
        <f t="shared" si="0"/>
        <v>18430</v>
      </c>
      <c r="D49" s="413">
        <v>2006</v>
      </c>
      <c r="E49" s="413">
        <v>2571</v>
      </c>
      <c r="F49" s="413">
        <v>13853</v>
      </c>
      <c r="G49" s="183"/>
    </row>
    <row r="50" spans="2:13" ht="14.25" thickTop="1" thickBot="1">
      <c r="B50" s="290" t="s">
        <v>422</v>
      </c>
      <c r="C50" s="413">
        <f t="shared" si="0"/>
        <v>336</v>
      </c>
      <c r="D50" s="413" t="s">
        <v>156</v>
      </c>
      <c r="E50" s="413" t="s">
        <v>156</v>
      </c>
      <c r="F50" s="413">
        <v>336</v>
      </c>
      <c r="G50" s="183"/>
    </row>
    <row r="51" spans="2:13" ht="14.25" thickTop="1" thickBot="1">
      <c r="B51" s="290" t="s">
        <v>420</v>
      </c>
      <c r="C51" s="413">
        <f t="shared" si="0"/>
        <v>0</v>
      </c>
      <c r="D51" s="413" t="s">
        <v>156</v>
      </c>
      <c r="E51" s="413" t="s">
        <v>156</v>
      </c>
      <c r="F51" s="413" t="s">
        <v>156</v>
      </c>
      <c r="G51" s="183"/>
    </row>
    <row r="52" spans="2:13" ht="14.25" thickTop="1" thickBot="1">
      <c r="B52" s="290" t="s">
        <v>421</v>
      </c>
      <c r="C52" s="413">
        <f t="shared" si="0"/>
        <v>822</v>
      </c>
      <c r="D52" s="413">
        <v>532</v>
      </c>
      <c r="E52" s="413">
        <v>164</v>
      </c>
      <c r="F52" s="413">
        <v>126</v>
      </c>
      <c r="G52" s="183"/>
    </row>
    <row r="53" spans="2:13" ht="14.25" thickTop="1" thickBot="1">
      <c r="B53" s="290"/>
      <c r="C53" s="413"/>
      <c r="D53" s="413"/>
      <c r="E53" s="413"/>
      <c r="F53" s="413"/>
      <c r="G53" s="183"/>
    </row>
    <row r="54" spans="2:13" ht="16.5" thickTop="1" thickBot="1">
      <c r="B54" s="272" t="s">
        <v>103</v>
      </c>
      <c r="C54" s="413">
        <f>SUM(C55:C60)</f>
        <v>1561637</v>
      </c>
      <c r="D54" s="413">
        <f>SUM(D55:D60)</f>
        <v>99034</v>
      </c>
      <c r="E54" s="413">
        <f>SUM(E55:E60)</f>
        <v>229814</v>
      </c>
      <c r="F54" s="413">
        <f>SUM(F55:F60)</f>
        <v>1232789</v>
      </c>
      <c r="G54" s="183"/>
      <c r="H54" s="120"/>
      <c r="I54" s="120"/>
      <c r="J54" s="120"/>
    </row>
    <row r="55" spans="2:13" ht="14.25" thickTop="1" thickBot="1">
      <c r="B55" s="272" t="s">
        <v>417</v>
      </c>
      <c r="C55" s="413">
        <f t="shared" si="0"/>
        <v>46512</v>
      </c>
      <c r="D55" s="413">
        <v>418</v>
      </c>
      <c r="E55" s="413">
        <v>1548</v>
      </c>
      <c r="F55" s="413">
        <v>44546</v>
      </c>
      <c r="G55" s="183"/>
    </row>
    <row r="56" spans="2:13" ht="14.25" thickTop="1" thickBot="1">
      <c r="B56" s="272" t="s">
        <v>418</v>
      </c>
      <c r="C56" s="413">
        <f t="shared" si="0"/>
        <v>937134</v>
      </c>
      <c r="D56" s="413">
        <v>66207</v>
      </c>
      <c r="E56" s="413">
        <v>149719</v>
      </c>
      <c r="F56" s="413">
        <v>721208</v>
      </c>
      <c r="G56" s="183"/>
    </row>
    <row r="57" spans="2:13" ht="14.25" thickTop="1" thickBot="1">
      <c r="B57" s="272" t="s">
        <v>419</v>
      </c>
      <c r="C57" s="413">
        <f t="shared" si="0"/>
        <v>532389</v>
      </c>
      <c r="D57" s="413">
        <v>29330</v>
      </c>
      <c r="E57" s="413">
        <v>74027</v>
      </c>
      <c r="F57" s="413">
        <v>429032</v>
      </c>
      <c r="G57" s="183"/>
    </row>
    <row r="58" spans="2:13" ht="14.25" thickTop="1" thickBot="1">
      <c r="B58" s="272" t="s">
        <v>422</v>
      </c>
      <c r="C58" s="413">
        <f t="shared" si="0"/>
        <v>38201</v>
      </c>
      <c r="D58" s="413">
        <v>860</v>
      </c>
      <c r="E58" s="413">
        <v>2473</v>
      </c>
      <c r="F58" s="413">
        <v>34868</v>
      </c>
      <c r="G58" s="183"/>
    </row>
    <row r="59" spans="2:13" ht="14.25" thickTop="1" thickBot="1">
      <c r="B59" s="272" t="s">
        <v>420</v>
      </c>
      <c r="C59" s="413">
        <f t="shared" si="0"/>
        <v>1349</v>
      </c>
      <c r="D59" s="413" t="s">
        <v>156</v>
      </c>
      <c r="E59" s="413">
        <v>277</v>
      </c>
      <c r="F59" s="413">
        <v>1072</v>
      </c>
      <c r="G59" s="183"/>
    </row>
    <row r="60" spans="2:13" ht="14.25" thickTop="1" thickBot="1">
      <c r="B60" s="272" t="s">
        <v>421</v>
      </c>
      <c r="C60" s="413">
        <f t="shared" si="0"/>
        <v>6052</v>
      </c>
      <c r="D60" s="413">
        <v>2219</v>
      </c>
      <c r="E60" s="413">
        <v>1770</v>
      </c>
      <c r="F60" s="413">
        <v>2063</v>
      </c>
      <c r="G60" s="183"/>
    </row>
    <row r="61" spans="2:13" ht="15.75" thickTop="1" thickBot="1">
      <c r="B61" s="293"/>
      <c r="C61" s="308"/>
      <c r="D61" s="308"/>
      <c r="E61" s="308"/>
      <c r="F61" s="308"/>
    </row>
    <row r="62" spans="2:13" ht="14.25" thickTop="1" thickBot="1">
      <c r="B62" s="478" t="s">
        <v>513</v>
      </c>
      <c r="C62" s="479"/>
      <c r="D62" s="479"/>
      <c r="E62" s="479"/>
      <c r="F62" s="479"/>
      <c r="G62"/>
      <c r="H62"/>
      <c r="I62"/>
      <c r="J62"/>
      <c r="K62"/>
      <c r="L62"/>
      <c r="M62"/>
    </row>
    <row r="63" spans="2:13" ht="13.5" thickTop="1">
      <c r="D63" s="533"/>
      <c r="E63" s="533"/>
      <c r="F63" s="533"/>
      <c r="G63"/>
      <c r="H63"/>
      <c r="I63"/>
      <c r="J63"/>
      <c r="K63"/>
      <c r="L63"/>
      <c r="M63"/>
    </row>
    <row r="64" spans="2:13">
      <c r="D64" s="123"/>
      <c r="G64"/>
      <c r="H64"/>
      <c r="I64"/>
      <c r="J64"/>
      <c r="K64"/>
      <c r="L64"/>
      <c r="M64"/>
    </row>
    <row r="65" spans="2:13">
      <c r="B65" s="123"/>
      <c r="C65" s="123"/>
      <c r="D65" s="123"/>
      <c r="E65" s="123"/>
      <c r="F65" s="123"/>
      <c r="G65"/>
      <c r="H65"/>
      <c r="I65"/>
      <c r="J65"/>
      <c r="K65"/>
      <c r="L65"/>
      <c r="M65"/>
    </row>
    <row r="66" spans="2:13">
      <c r="C66" s="123"/>
      <c r="D66" s="123"/>
      <c r="F66" s="123"/>
      <c r="G66"/>
      <c r="H66"/>
      <c r="I66"/>
      <c r="J66"/>
      <c r="K66"/>
      <c r="L66"/>
      <c r="M66"/>
    </row>
    <row r="67" spans="2:13">
      <c r="C67" s="123"/>
      <c r="D67" s="123"/>
      <c r="F67" s="123"/>
      <c r="G67"/>
      <c r="H67"/>
      <c r="I67"/>
      <c r="J67"/>
      <c r="K67"/>
      <c r="L67"/>
      <c r="M67"/>
    </row>
    <row r="68" spans="2:13">
      <c r="C68" s="123"/>
      <c r="D68" s="123"/>
      <c r="F68" s="123"/>
      <c r="G68"/>
      <c r="H68"/>
      <c r="I68"/>
      <c r="J68"/>
      <c r="K68"/>
      <c r="L68"/>
      <c r="M68"/>
    </row>
    <row r="69" spans="2:13">
      <c r="C69" s="123"/>
      <c r="D69" s="123"/>
      <c r="F69" s="123"/>
      <c r="G69"/>
      <c r="H69"/>
      <c r="I69"/>
      <c r="J69"/>
      <c r="K69"/>
      <c r="L69"/>
      <c r="M69"/>
    </row>
    <row r="70" spans="2:13">
      <c r="C70" s="123"/>
      <c r="F70" s="123"/>
      <c r="G70"/>
      <c r="H70"/>
      <c r="I70"/>
      <c r="J70"/>
      <c r="K70"/>
      <c r="L70"/>
      <c r="M70"/>
    </row>
    <row r="71" spans="2:13">
      <c r="C71" s="123"/>
      <c r="F71" s="123"/>
      <c r="G71"/>
      <c r="H71"/>
      <c r="I71"/>
      <c r="J71"/>
      <c r="K71"/>
      <c r="L71"/>
      <c r="M71"/>
    </row>
    <row r="72" spans="2:13">
      <c r="C72" s="123"/>
    </row>
  </sheetData>
  <mergeCells count="7">
    <mergeCell ref="D63:F63"/>
    <mergeCell ref="B2:F2"/>
    <mergeCell ref="B3:F3"/>
    <mergeCell ref="B4:B5"/>
    <mergeCell ref="C4:C5"/>
    <mergeCell ref="D4:F4"/>
    <mergeCell ref="B62:F62"/>
  </mergeCells>
  <hyperlinks>
    <hyperlink ref="B3:F3" location="'Capitulo 3'!B33" display=" Total de hogares por nivel de pobreza, según tipo de vivienda y región. 2018." xr:uid="{00000000-0004-0000-1C00-000000000000}"/>
  </hyperlinks>
  <pageMargins left="0.75" right="0.75" top="1" bottom="1" header="0" footer="0"/>
  <pageSetup orientation="landscape" horizontalDpi="180" verticalDpi="180" r:id="rId1"/>
  <headerFooter alignWithMargins="0"/>
  <ignoredErrors>
    <ignoredError sqref="C14:F14 C22 C30 C38 E38 C54 C4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X50"/>
  <sheetViews>
    <sheetView showGridLines="0" zoomScaleNormal="100" workbookViewId="0">
      <pane ySplit="6" topLeftCell="A7" activePane="bottomLeft" state="frozen"/>
      <selection pane="bottomLeft" activeCell="B3" sqref="B3:D3"/>
    </sheetView>
  </sheetViews>
  <sheetFormatPr baseColWidth="10" defaultRowHeight="14.1" customHeight="1"/>
  <cols>
    <col min="1" max="1" width="11.42578125" style="24"/>
    <col min="2" max="2" width="92.7109375" style="217" customWidth="1"/>
    <col min="3" max="4" width="19.42578125" style="22" customWidth="1"/>
    <col min="5" max="5" width="11.7109375" style="22" bestFit="1" customWidth="1"/>
    <col min="6" max="6" width="11.42578125" style="22"/>
    <col min="7" max="10" width="15.7109375" style="24" bestFit="1" customWidth="1"/>
    <col min="11" max="11" width="17.28515625" style="24" customWidth="1"/>
    <col min="12" max="12" width="16.7109375" style="24" customWidth="1"/>
    <col min="13" max="13" width="17.140625" style="24" customWidth="1"/>
    <col min="14" max="14" width="17.28515625" style="24" customWidth="1"/>
    <col min="15" max="15" width="17" style="24" customWidth="1"/>
    <col min="16" max="16" width="16.85546875" style="24" customWidth="1"/>
    <col min="17" max="17" width="18" style="24" customWidth="1"/>
    <col min="18" max="18" width="17.85546875" style="24" customWidth="1"/>
    <col min="19" max="19" width="19.42578125" style="24" customWidth="1"/>
    <col min="20" max="20" width="18.140625" style="24" customWidth="1"/>
    <col min="21" max="21" width="18.42578125" style="24" customWidth="1"/>
    <col min="22" max="22" width="18.7109375" style="24" customWidth="1"/>
    <col min="23" max="23" width="11.42578125" style="24"/>
    <col min="24" max="24" width="13.5703125" style="24" bestFit="1" customWidth="1"/>
    <col min="25" max="16384" width="11.42578125" style="24"/>
  </cols>
  <sheetData>
    <row r="1" spans="2:24" ht="19.5">
      <c r="B1" s="213"/>
    </row>
    <row r="2" spans="2:24" ht="15.75">
      <c r="B2" s="452" t="s">
        <v>0</v>
      </c>
      <c r="C2" s="452"/>
      <c r="D2" s="452"/>
    </row>
    <row r="3" spans="2:24" ht="33" customHeight="1">
      <c r="B3" s="453" t="s">
        <v>1062</v>
      </c>
      <c r="C3" s="454"/>
      <c r="D3" s="454"/>
    </row>
    <row r="4" spans="2:24" ht="15.75" customHeight="1" thickBot="1">
      <c r="B4" s="455"/>
      <c r="C4" s="455"/>
      <c r="D4" s="455"/>
    </row>
    <row r="5" spans="2:24" ht="15" thickTop="1" thickBot="1">
      <c r="B5" s="456" t="s">
        <v>537</v>
      </c>
      <c r="C5" s="458" t="s">
        <v>10</v>
      </c>
      <c r="D5" s="458"/>
    </row>
    <row r="6" spans="2:24" ht="15" thickTop="1" thickBot="1">
      <c r="B6" s="457"/>
      <c r="C6" s="313">
        <v>2017</v>
      </c>
      <c r="D6" s="313">
        <v>2018</v>
      </c>
    </row>
    <row r="7" spans="2:24" ht="15" thickTop="1" thickBot="1">
      <c r="B7" s="244" t="s">
        <v>538</v>
      </c>
      <c r="C7" s="409">
        <v>33014818.800000001</v>
      </c>
      <c r="D7" s="409">
        <v>34691057.200000003</v>
      </c>
      <c r="E7" s="22">
        <f>((D7-C7)/D7)*100</f>
        <v>4.831903479724458</v>
      </c>
    </row>
    <row r="8" spans="2:24" ht="15" thickTop="1" thickBot="1">
      <c r="B8" s="244" t="s">
        <v>568</v>
      </c>
      <c r="C8" s="409">
        <v>2617266.2999999998</v>
      </c>
      <c r="D8" s="409">
        <v>2635696.7999999998</v>
      </c>
      <c r="E8" s="22">
        <f t="shared" ref="E8:E24" si="0">((D8-C8)/D8)*100</f>
        <v>0.6992648016266515</v>
      </c>
    </row>
    <row r="9" spans="2:24" ht="15" thickTop="1" thickBot="1">
      <c r="B9" s="244" t="s">
        <v>569</v>
      </c>
      <c r="C9" s="409">
        <v>30397552.399999999</v>
      </c>
      <c r="D9" s="409">
        <v>32055360.300000001</v>
      </c>
      <c r="E9" s="22">
        <f t="shared" si="0"/>
        <v>5.1717025935284902</v>
      </c>
    </row>
    <row r="10" spans="2:24" ht="15" thickTop="1" thickBot="1">
      <c r="B10" s="244" t="s">
        <v>570</v>
      </c>
      <c r="C10" s="409">
        <v>1655289.9</v>
      </c>
      <c r="D10" s="409">
        <v>1589162.8</v>
      </c>
      <c r="E10" s="22">
        <f t="shared" si="0"/>
        <v>-4.1611281109776712</v>
      </c>
    </row>
    <row r="11" spans="2:24" ht="15" thickTop="1" thickBot="1">
      <c r="B11" s="244" t="s">
        <v>571</v>
      </c>
      <c r="C11" s="409">
        <v>91864.3</v>
      </c>
      <c r="D11" s="409">
        <v>96686.7</v>
      </c>
      <c r="E11" s="22">
        <f t="shared" si="0"/>
        <v>4.9876560064621032</v>
      </c>
    </row>
    <row r="12" spans="2:24" ht="15" thickTop="1" thickBot="1">
      <c r="B12" s="244" t="s">
        <v>572</v>
      </c>
      <c r="C12" s="409">
        <v>3875165.8</v>
      </c>
      <c r="D12" s="409">
        <v>4123787.3</v>
      </c>
      <c r="E12" s="22">
        <f t="shared" si="0"/>
        <v>6.028960320043665</v>
      </c>
      <c r="X12" s="214"/>
    </row>
    <row r="13" spans="2:24" ht="16.5" customHeight="1" thickTop="1" thickBot="1">
      <c r="B13" s="245" t="s">
        <v>573</v>
      </c>
      <c r="C13" s="409">
        <v>891552.8</v>
      </c>
      <c r="D13" s="409">
        <v>994597.2</v>
      </c>
      <c r="E13" s="22">
        <f t="shared" si="0"/>
        <v>10.360415251520909</v>
      </c>
    </row>
    <row r="14" spans="2:24" ht="15" thickTop="1" thickBot="1">
      <c r="B14" s="244" t="s">
        <v>574</v>
      </c>
      <c r="C14" s="409">
        <v>1412012.4</v>
      </c>
      <c r="D14" s="409">
        <v>1554714.8</v>
      </c>
      <c r="E14" s="22">
        <f t="shared" si="0"/>
        <v>9.178686663303143</v>
      </c>
    </row>
    <row r="15" spans="2:24" ht="15" thickTop="1" thickBot="1">
      <c r="B15" s="244" t="s">
        <v>575</v>
      </c>
      <c r="C15" s="409">
        <v>3044859.6</v>
      </c>
      <c r="D15" s="409">
        <v>3238073.9</v>
      </c>
      <c r="E15" s="22">
        <f t="shared" si="0"/>
        <v>5.9669515263379198</v>
      </c>
    </row>
    <row r="16" spans="2:24" ht="15" thickTop="1" thickBot="1">
      <c r="B16" s="244" t="s">
        <v>576</v>
      </c>
      <c r="C16" s="409">
        <v>1444295.6</v>
      </c>
      <c r="D16" s="409">
        <v>1512557.1</v>
      </c>
      <c r="E16" s="22">
        <f t="shared" si="0"/>
        <v>4.5129866502229898</v>
      </c>
    </row>
    <row r="17" spans="2:24" ht="15" thickTop="1" thickBot="1">
      <c r="B17" s="244" t="s">
        <v>577</v>
      </c>
      <c r="C17" s="409">
        <v>1051419.3999999999</v>
      </c>
      <c r="D17" s="409">
        <v>1120716.5</v>
      </c>
      <c r="E17" s="22">
        <f t="shared" si="0"/>
        <v>6.1832854249937519</v>
      </c>
    </row>
    <row r="18" spans="2:24" ht="15" thickTop="1" thickBot="1">
      <c r="B18" s="244" t="s">
        <v>578</v>
      </c>
      <c r="C18" s="409">
        <v>1428744.6</v>
      </c>
      <c r="D18" s="409">
        <v>1524363</v>
      </c>
      <c r="E18" s="22">
        <f t="shared" si="0"/>
        <v>6.2726791453216784</v>
      </c>
    </row>
    <row r="19" spans="2:24" ht="15" thickTop="1" thickBot="1">
      <c r="B19" s="244" t="s">
        <v>579</v>
      </c>
      <c r="C19" s="409">
        <v>1604288.2</v>
      </c>
      <c r="D19" s="409">
        <v>1724743.4</v>
      </c>
      <c r="E19" s="22">
        <f t="shared" si="0"/>
        <v>6.9839490326503038</v>
      </c>
    </row>
    <row r="20" spans="2:24" ht="15" thickTop="1" thickBot="1">
      <c r="B20" s="244" t="s">
        <v>580</v>
      </c>
      <c r="C20" s="409">
        <v>2689300.1</v>
      </c>
      <c r="D20" s="409">
        <v>2798724.3</v>
      </c>
      <c r="E20" s="22">
        <f t="shared" si="0"/>
        <v>3.9097884704113128</v>
      </c>
    </row>
    <row r="21" spans="2:24" ht="15" thickTop="1" thickBot="1">
      <c r="B21" s="244" t="s">
        <v>581</v>
      </c>
      <c r="C21" s="409">
        <v>3840672.1</v>
      </c>
      <c r="D21" s="409">
        <v>4093351.2</v>
      </c>
      <c r="E21" s="22">
        <f t="shared" si="0"/>
        <v>6.1729152387413055</v>
      </c>
    </row>
    <row r="22" spans="2:24" ht="15" thickTop="1" thickBot="1">
      <c r="B22" s="244" t="s">
        <v>582</v>
      </c>
      <c r="C22" s="409">
        <v>1438578.2</v>
      </c>
      <c r="D22" s="409">
        <v>1499242.2</v>
      </c>
      <c r="E22" s="22">
        <f t="shared" si="0"/>
        <v>4.0463108629146118</v>
      </c>
    </row>
    <row r="23" spans="2:24" ht="14.25" thickTop="1">
      <c r="B23" s="246" t="s">
        <v>583</v>
      </c>
      <c r="C23" s="410">
        <v>4873672.4000000004</v>
      </c>
      <c r="D23" s="410">
        <v>5069271.5</v>
      </c>
      <c r="E23" s="22">
        <f t="shared" si="0"/>
        <v>3.8585248393186209</v>
      </c>
      <c r="F23" s="189"/>
    </row>
    <row r="24" spans="2:24" ht="13.5">
      <c r="B24" s="246" t="s">
        <v>584</v>
      </c>
      <c r="C24" s="410">
        <v>1055837.1000000001</v>
      </c>
      <c r="D24" s="410">
        <v>1115368.3999999999</v>
      </c>
      <c r="E24" s="22">
        <f t="shared" si="0"/>
        <v>5.3373665597841766</v>
      </c>
      <c r="F24" s="189"/>
    </row>
    <row r="25" spans="2:24" ht="13.5">
      <c r="B25" s="450"/>
      <c r="C25" s="450"/>
      <c r="D25" s="450"/>
    </row>
    <row r="26" spans="2:24" ht="13.5">
      <c r="B26" s="451" t="s">
        <v>539</v>
      </c>
      <c r="C26" s="451"/>
      <c r="D26" s="451"/>
    </row>
    <row r="27" spans="2:24" ht="15" customHeight="1">
      <c r="B27" s="451" t="s">
        <v>1063</v>
      </c>
      <c r="C27" s="451"/>
      <c r="D27" s="451"/>
    </row>
    <row r="28" spans="2:24" ht="15" customHeight="1">
      <c r="B28" s="215"/>
      <c r="C28" s="216"/>
      <c r="D28" s="216"/>
    </row>
    <row r="29" spans="2:24" s="22" customFormat="1" ht="14.1" customHeight="1">
      <c r="B29" s="217"/>
      <c r="C29" s="189"/>
      <c r="D29" s="189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</row>
    <row r="30" spans="2:24" s="22" customFormat="1" ht="14.1" customHeight="1">
      <c r="B30" s="217"/>
      <c r="C30" s="189"/>
      <c r="D30" s="189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</row>
    <row r="31" spans="2:24" s="22" customFormat="1" ht="14.1" customHeight="1">
      <c r="B31" s="217"/>
      <c r="C31" s="189"/>
      <c r="D31" s="189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</row>
    <row r="32" spans="2:24" ht="14.1" customHeight="1" thickBot="1"/>
    <row r="33" spans="2:3" ht="14.1" customHeight="1" thickTop="1" thickBot="1">
      <c r="B33" s="244" t="s">
        <v>570</v>
      </c>
      <c r="C33" s="435">
        <v>-4.1611281109776712</v>
      </c>
    </row>
    <row r="34" spans="2:3" ht="14.1" customHeight="1" thickTop="1" thickBot="1">
      <c r="B34" s="244" t="s">
        <v>571</v>
      </c>
      <c r="C34" s="435">
        <v>4.9876560064621032</v>
      </c>
    </row>
    <row r="35" spans="2:3" ht="14.1" customHeight="1" thickTop="1" thickBot="1">
      <c r="B35" s="244" t="s">
        <v>572</v>
      </c>
      <c r="C35" s="435">
        <v>6.028960320043665</v>
      </c>
    </row>
    <row r="36" spans="2:3" ht="14.1" customHeight="1" thickTop="1" thickBot="1">
      <c r="B36" s="245" t="s">
        <v>573</v>
      </c>
      <c r="C36" s="435">
        <v>10.360415251520909</v>
      </c>
    </row>
    <row r="37" spans="2:3" ht="14.1" customHeight="1" thickTop="1" thickBot="1">
      <c r="B37" s="244" t="s">
        <v>574</v>
      </c>
      <c r="C37" s="435">
        <v>9.178686663303143</v>
      </c>
    </row>
    <row r="38" spans="2:3" ht="14.1" customHeight="1" thickTop="1" thickBot="1">
      <c r="B38" s="244" t="s">
        <v>575</v>
      </c>
      <c r="C38" s="435">
        <v>5.9669515263379198</v>
      </c>
    </row>
    <row r="39" spans="2:3" ht="14.1" customHeight="1" thickTop="1" thickBot="1">
      <c r="B39" s="244" t="s">
        <v>576</v>
      </c>
      <c r="C39" s="435">
        <v>4.5129866502229898</v>
      </c>
    </row>
    <row r="40" spans="2:3" ht="14.1" customHeight="1" thickTop="1" thickBot="1">
      <c r="B40" s="244" t="s">
        <v>577</v>
      </c>
      <c r="C40" s="435">
        <v>6.1832854249937519</v>
      </c>
    </row>
    <row r="41" spans="2:3" ht="14.1" customHeight="1" thickTop="1" thickBot="1">
      <c r="B41" s="244" t="s">
        <v>578</v>
      </c>
      <c r="C41" s="435">
        <v>6.2726791453216784</v>
      </c>
    </row>
    <row r="42" spans="2:3" ht="14.1" customHeight="1" thickTop="1" thickBot="1">
      <c r="B42" s="244" t="s">
        <v>579</v>
      </c>
      <c r="C42" s="435">
        <v>6.9839490326503038</v>
      </c>
    </row>
    <row r="43" spans="2:3" ht="14.1" customHeight="1" thickTop="1" thickBot="1">
      <c r="B43" s="244" t="s">
        <v>580</v>
      </c>
      <c r="C43" s="435">
        <v>3.9097884704113128</v>
      </c>
    </row>
    <row r="44" spans="2:3" ht="14.1" customHeight="1" thickTop="1" thickBot="1">
      <c r="B44" s="244" t="s">
        <v>581</v>
      </c>
      <c r="C44" s="435">
        <v>6.1729152387413055</v>
      </c>
    </row>
    <row r="45" spans="2:3" ht="14.1" customHeight="1" thickTop="1" thickBot="1">
      <c r="B45" s="244" t="s">
        <v>582</v>
      </c>
      <c r="C45" s="435">
        <v>4.0463108629146118</v>
      </c>
    </row>
    <row r="46" spans="2:3" ht="14.1" customHeight="1" thickTop="1">
      <c r="B46" s="246" t="s">
        <v>583</v>
      </c>
      <c r="C46" s="435">
        <v>3.8585248393186209</v>
      </c>
    </row>
    <row r="47" spans="2:3" ht="14.1" customHeight="1">
      <c r="B47" s="246" t="s">
        <v>584</v>
      </c>
      <c r="C47" s="435">
        <v>5.3373665597841766</v>
      </c>
    </row>
    <row r="48" spans="2:3" ht="14.1" customHeight="1">
      <c r="C48" s="435"/>
    </row>
    <row r="49" spans="3:3" ht="14.1" customHeight="1">
      <c r="C49" s="435"/>
    </row>
    <row r="50" spans="3:3" ht="14.1" customHeight="1">
      <c r="C50" s="435"/>
    </row>
  </sheetData>
  <mergeCells count="8">
    <mergeCell ref="B25:D25"/>
    <mergeCell ref="B26:D26"/>
    <mergeCell ref="B27:D27"/>
    <mergeCell ref="B2:D2"/>
    <mergeCell ref="B3:D3"/>
    <mergeCell ref="B4:D4"/>
    <mergeCell ref="B5:B6"/>
    <mergeCell ref="C5:D5"/>
  </mergeCells>
  <hyperlinks>
    <hyperlink ref="B3:D3" location="'Capitulo 1'!B19" display="Producto Interno Bruto por actividad económica a precios básicos y de mercado. 2017-2018. 1/" xr:uid="{00000000-0004-0000-02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N65"/>
  <sheetViews>
    <sheetView showGridLines="0" zoomScaleNormal="100" workbookViewId="0">
      <pane ySplit="5" topLeftCell="A6" activePane="bottomLeft" state="frozen"/>
      <selection pane="bottomLeft" activeCell="I8" sqref="I8"/>
    </sheetView>
  </sheetViews>
  <sheetFormatPr baseColWidth="10" defaultColWidth="11.42578125" defaultRowHeight="12.75"/>
  <cols>
    <col min="1" max="1" width="11.42578125" customWidth="1"/>
    <col min="2" max="2" width="57" style="3" bestFit="1" customWidth="1"/>
    <col min="3" max="3" width="24.7109375" style="3" customWidth="1"/>
    <col min="4" max="4" width="16" style="3" customWidth="1"/>
    <col min="5" max="5" width="19" style="3" customWidth="1"/>
    <col min="6" max="6" width="18.140625" style="3" customWidth="1"/>
    <col min="7" max="13" width="11.42578125" style="3" customWidth="1"/>
  </cols>
  <sheetData>
    <row r="2" spans="2:14" ht="15">
      <c r="B2" s="462" t="s">
        <v>454</v>
      </c>
      <c r="C2" s="462"/>
      <c r="D2" s="462"/>
      <c r="E2" s="462"/>
      <c r="F2" s="462"/>
    </row>
    <row r="3" spans="2:14" ht="16.5" customHeight="1" thickBot="1">
      <c r="B3" s="482" t="s">
        <v>519</v>
      </c>
      <c r="C3" s="482"/>
      <c r="D3" s="482"/>
      <c r="E3" s="482"/>
      <c r="F3" s="482"/>
    </row>
    <row r="4" spans="2:14" ht="14.25" thickTop="1" thickBot="1">
      <c r="B4" s="494" t="s">
        <v>302</v>
      </c>
      <c r="C4" s="494" t="s">
        <v>304</v>
      </c>
      <c r="D4" s="459" t="s">
        <v>284</v>
      </c>
      <c r="E4" s="460"/>
      <c r="F4" s="460"/>
    </row>
    <row r="5" spans="2:14" ht="27" thickTop="1" thickBot="1">
      <c r="B5" s="503"/>
      <c r="C5" s="503"/>
      <c r="D5" s="314" t="s">
        <v>270</v>
      </c>
      <c r="E5" s="314" t="s">
        <v>271</v>
      </c>
      <c r="F5" s="314" t="s">
        <v>283</v>
      </c>
    </row>
    <row r="6" spans="2:14" ht="14.25" thickTop="1" thickBot="1">
      <c r="B6" s="272" t="s">
        <v>139</v>
      </c>
      <c r="C6" s="413">
        <f>SUM(C7:C11)</f>
        <v>965988</v>
      </c>
      <c r="D6" s="413">
        <f>SUM(D7:D11)</f>
        <v>42749</v>
      </c>
      <c r="E6" s="413">
        <f>SUM(E7:E11)</f>
        <v>118580</v>
      </c>
      <c r="F6" s="413">
        <f>SUM(F7:F11)</f>
        <v>804659</v>
      </c>
      <c r="G6" s="183"/>
    </row>
    <row r="7" spans="2:14" ht="18.75" customHeight="1" thickTop="1" thickBot="1">
      <c r="B7" s="290" t="s">
        <v>170</v>
      </c>
      <c r="C7" s="413">
        <f>SUM(D7:F7)</f>
        <v>582262</v>
      </c>
      <c r="D7" s="413">
        <v>23453</v>
      </c>
      <c r="E7" s="413">
        <v>73492</v>
      </c>
      <c r="F7" s="413">
        <v>485317</v>
      </c>
      <c r="G7" s="183"/>
    </row>
    <row r="8" spans="2:14" ht="18.75" customHeight="1" thickTop="1" thickBot="1">
      <c r="B8" s="290" t="s">
        <v>171</v>
      </c>
      <c r="C8" s="413">
        <f>SUM(D8:F8)</f>
        <v>105995</v>
      </c>
      <c r="D8" s="413">
        <v>2299</v>
      </c>
      <c r="E8" s="413">
        <v>4139</v>
      </c>
      <c r="F8" s="413">
        <v>99557</v>
      </c>
      <c r="G8" s="183"/>
    </row>
    <row r="9" spans="2:14" ht="16.5" customHeight="1" thickTop="1" thickBot="1">
      <c r="B9" s="290" t="s">
        <v>172</v>
      </c>
      <c r="C9" s="413">
        <f>SUM(D9:F9)</f>
        <v>201441</v>
      </c>
      <c r="D9" s="413">
        <v>9344</v>
      </c>
      <c r="E9" s="413">
        <v>26079</v>
      </c>
      <c r="F9" s="413">
        <v>166018</v>
      </c>
      <c r="G9" s="183"/>
    </row>
    <row r="10" spans="2:14" ht="17.25" customHeight="1" thickTop="1" thickBot="1">
      <c r="B10" s="290" t="s">
        <v>173</v>
      </c>
      <c r="C10" s="413">
        <f>SUM(D10:F10)</f>
        <v>20238</v>
      </c>
      <c r="D10" s="413">
        <v>3008</v>
      </c>
      <c r="E10" s="413">
        <v>5201</v>
      </c>
      <c r="F10" s="413">
        <v>12029</v>
      </c>
      <c r="G10" s="183"/>
    </row>
    <row r="11" spans="2:14" ht="14.25" thickTop="1" thickBot="1">
      <c r="B11" s="290" t="s">
        <v>423</v>
      </c>
      <c r="C11" s="413">
        <f>SUM(D11:F11)</f>
        <v>56052</v>
      </c>
      <c r="D11" s="413">
        <v>4645</v>
      </c>
      <c r="E11" s="413">
        <v>9669</v>
      </c>
      <c r="F11" s="413">
        <v>41738</v>
      </c>
      <c r="G11" s="183"/>
    </row>
    <row r="12" spans="2:14" ht="14.25" thickTop="1" thickBot="1">
      <c r="B12" s="290"/>
      <c r="C12" s="413"/>
      <c r="D12" s="413"/>
      <c r="E12" s="413"/>
      <c r="F12" s="413"/>
      <c r="G12" s="183"/>
    </row>
    <row r="13" spans="2:14" ht="14.25" thickTop="1" thickBot="1">
      <c r="B13" s="272" t="s">
        <v>117</v>
      </c>
      <c r="C13" s="413">
        <f>SUM(C14:C18)</f>
        <v>119546</v>
      </c>
      <c r="D13" s="413">
        <f>SUM(D14:D18)</f>
        <v>10520</v>
      </c>
      <c r="E13" s="413">
        <f>SUM(E14:E18)</f>
        <v>20510</v>
      </c>
      <c r="F13" s="413">
        <f>SUM(F14:F18)</f>
        <v>88516</v>
      </c>
      <c r="G13" s="183"/>
      <c r="H13" s="122"/>
      <c r="I13" s="122"/>
      <c r="J13" s="122"/>
      <c r="K13" s="122"/>
      <c r="L13" s="122"/>
      <c r="M13" s="122"/>
      <c r="N13" s="122"/>
    </row>
    <row r="14" spans="2:14" ht="14.25" thickTop="1" thickBot="1">
      <c r="B14" s="290" t="s">
        <v>170</v>
      </c>
      <c r="C14" s="413">
        <f>SUM(D14:F14)</f>
        <v>80078</v>
      </c>
      <c r="D14" s="413">
        <v>7434</v>
      </c>
      <c r="E14" s="413">
        <v>14615</v>
      </c>
      <c r="F14" s="413">
        <v>58029</v>
      </c>
      <c r="G14" s="183"/>
    </row>
    <row r="15" spans="2:14" ht="14.25" thickTop="1" thickBot="1">
      <c r="B15" s="290" t="s">
        <v>171</v>
      </c>
      <c r="C15" s="413">
        <f>SUM(D15:F15)</f>
        <v>9719</v>
      </c>
      <c r="D15" s="413">
        <v>254</v>
      </c>
      <c r="E15" s="413">
        <v>1239</v>
      </c>
      <c r="F15" s="413">
        <v>8226</v>
      </c>
      <c r="G15" s="183"/>
    </row>
    <row r="16" spans="2:14" ht="14.25" thickTop="1" thickBot="1">
      <c r="B16" s="290" t="s">
        <v>172</v>
      </c>
      <c r="C16" s="413">
        <f>SUM(D16:F16)</f>
        <v>16224</v>
      </c>
      <c r="D16" s="413">
        <v>705</v>
      </c>
      <c r="E16" s="413">
        <v>2378</v>
      </c>
      <c r="F16" s="413">
        <v>13141</v>
      </c>
      <c r="G16" s="183"/>
    </row>
    <row r="17" spans="2:14" s="3" customFormat="1" ht="14.25" thickTop="1" thickBot="1">
      <c r="B17" s="290" t="s">
        <v>173</v>
      </c>
      <c r="C17" s="413">
        <f>SUM(D17:F17)</f>
        <v>938</v>
      </c>
      <c r="D17" s="413">
        <v>524</v>
      </c>
      <c r="E17" s="413">
        <v>196</v>
      </c>
      <c r="F17" s="413">
        <v>218</v>
      </c>
      <c r="G17" s="183"/>
      <c r="N17"/>
    </row>
    <row r="18" spans="2:14" s="3" customFormat="1" ht="14.25" thickTop="1" thickBot="1">
      <c r="B18" s="290" t="s">
        <v>423</v>
      </c>
      <c r="C18" s="413">
        <f>SUM(D18:F18)</f>
        <v>12587</v>
      </c>
      <c r="D18" s="413">
        <v>1603</v>
      </c>
      <c r="E18" s="413">
        <v>2082</v>
      </c>
      <c r="F18" s="413">
        <v>8902</v>
      </c>
      <c r="G18" s="183"/>
      <c r="N18"/>
    </row>
    <row r="19" spans="2:14" s="3" customFormat="1" ht="14.25" thickTop="1" thickBot="1">
      <c r="B19" s="290"/>
      <c r="C19" s="413"/>
      <c r="D19" s="413"/>
      <c r="E19" s="413"/>
      <c r="F19" s="413"/>
      <c r="G19" s="183"/>
      <c r="N19"/>
    </row>
    <row r="20" spans="2:14" s="3" customFormat="1" ht="14.25" thickTop="1" thickBot="1">
      <c r="B20" s="272" t="s">
        <v>118</v>
      </c>
      <c r="C20" s="413">
        <f>SUM(C21:C25)</f>
        <v>93040</v>
      </c>
      <c r="D20" s="413">
        <f>SUM(D21:D25)</f>
        <v>8181</v>
      </c>
      <c r="E20" s="413">
        <f>SUM(E21:E25)</f>
        <v>15755</v>
      </c>
      <c r="F20" s="413">
        <f>SUM(F21:F25)</f>
        <v>69104</v>
      </c>
      <c r="G20" s="183"/>
      <c r="N20"/>
    </row>
    <row r="21" spans="2:14" s="3" customFormat="1" ht="14.25" thickTop="1" thickBot="1">
      <c r="B21" s="290" t="s">
        <v>170</v>
      </c>
      <c r="C21" s="413">
        <f>SUM(D21:F21)</f>
        <v>57434</v>
      </c>
      <c r="D21" s="413">
        <v>4983</v>
      </c>
      <c r="E21" s="413">
        <v>10924</v>
      </c>
      <c r="F21" s="413">
        <v>41527</v>
      </c>
      <c r="G21" s="183"/>
      <c r="N21"/>
    </row>
    <row r="22" spans="2:14" s="3" customFormat="1" ht="14.25" thickTop="1" thickBot="1">
      <c r="B22" s="290" t="s">
        <v>171</v>
      </c>
      <c r="C22" s="413">
        <f>SUM(D22:F22)</f>
        <v>5953</v>
      </c>
      <c r="D22" s="413">
        <v>110</v>
      </c>
      <c r="E22" s="413">
        <v>630</v>
      </c>
      <c r="F22" s="413">
        <v>5213</v>
      </c>
      <c r="G22" s="183"/>
      <c r="N22"/>
    </row>
    <row r="23" spans="2:14" s="3" customFormat="1" ht="14.25" thickTop="1" thickBot="1">
      <c r="B23" s="290" t="s">
        <v>172</v>
      </c>
      <c r="C23" s="413">
        <f>SUM(D23:F23)</f>
        <v>14710</v>
      </c>
      <c r="D23" s="413">
        <v>1382</v>
      </c>
      <c r="E23" s="413">
        <v>1285</v>
      </c>
      <c r="F23" s="413">
        <v>12043</v>
      </c>
      <c r="G23" s="183"/>
      <c r="N23"/>
    </row>
    <row r="24" spans="2:14" s="3" customFormat="1" ht="14.25" thickTop="1" thickBot="1">
      <c r="B24" s="290" t="s">
        <v>173</v>
      </c>
      <c r="C24" s="413">
        <f>SUM(D24:F24)</f>
        <v>2117</v>
      </c>
      <c r="D24" s="413">
        <v>728</v>
      </c>
      <c r="E24" s="413">
        <v>782</v>
      </c>
      <c r="F24" s="413">
        <v>607</v>
      </c>
      <c r="G24" s="183"/>
      <c r="N24"/>
    </row>
    <row r="25" spans="2:14" s="3" customFormat="1" ht="14.25" thickTop="1" thickBot="1">
      <c r="B25" s="290" t="s">
        <v>423</v>
      </c>
      <c r="C25" s="413">
        <f>SUM(D25:F25)</f>
        <v>12826</v>
      </c>
      <c r="D25" s="413">
        <v>978</v>
      </c>
      <c r="E25" s="413">
        <v>2134</v>
      </c>
      <c r="F25" s="413">
        <v>9714</v>
      </c>
      <c r="G25" s="194"/>
      <c r="N25"/>
    </row>
    <row r="26" spans="2:14" s="3" customFormat="1" ht="14.25" thickTop="1" thickBot="1">
      <c r="B26" s="290"/>
      <c r="C26" s="413"/>
      <c r="D26" s="413"/>
      <c r="E26" s="413"/>
      <c r="F26" s="413"/>
      <c r="G26" s="194"/>
      <c r="N26"/>
    </row>
    <row r="27" spans="2:14" s="3" customFormat="1" ht="14.25" thickTop="1" thickBot="1">
      <c r="B27" s="272" t="s">
        <v>119</v>
      </c>
      <c r="C27" s="413">
        <f>SUM(C28:C32)</f>
        <v>124023</v>
      </c>
      <c r="D27" s="413">
        <f>SUM(D28:D32)</f>
        <v>12469</v>
      </c>
      <c r="E27" s="413">
        <f>SUM(E28:E32)</f>
        <v>27514</v>
      </c>
      <c r="F27" s="413">
        <f>SUM(F28:F32)</f>
        <v>84040</v>
      </c>
      <c r="G27" s="183"/>
      <c r="N27"/>
    </row>
    <row r="28" spans="2:14" s="3" customFormat="1" ht="14.25" thickTop="1" thickBot="1">
      <c r="B28" s="290" t="s">
        <v>170</v>
      </c>
      <c r="C28" s="413">
        <f>SUM(D28:F28)</f>
        <v>82451</v>
      </c>
      <c r="D28" s="413">
        <v>7793</v>
      </c>
      <c r="E28" s="413">
        <v>19600</v>
      </c>
      <c r="F28" s="413">
        <v>55058</v>
      </c>
      <c r="G28" s="183"/>
      <c r="N28"/>
    </row>
    <row r="29" spans="2:14" s="3" customFormat="1" ht="14.25" thickTop="1" thickBot="1">
      <c r="B29" s="290" t="s">
        <v>171</v>
      </c>
      <c r="C29" s="413">
        <f>SUM(D29:F29)</f>
        <v>9403</v>
      </c>
      <c r="D29" s="413">
        <v>395</v>
      </c>
      <c r="E29" s="413">
        <v>955</v>
      </c>
      <c r="F29" s="413">
        <v>8053</v>
      </c>
      <c r="G29" s="183"/>
      <c r="N29"/>
    </row>
    <row r="30" spans="2:14" s="3" customFormat="1" ht="14.25" thickTop="1" thickBot="1">
      <c r="B30" s="290" t="s">
        <v>172</v>
      </c>
      <c r="C30" s="413">
        <f>SUM(D30:F30)</f>
        <v>14198</v>
      </c>
      <c r="D30" s="413">
        <v>1513</v>
      </c>
      <c r="E30" s="413">
        <v>1994</v>
      </c>
      <c r="F30" s="413">
        <v>10691</v>
      </c>
      <c r="G30" s="183"/>
      <c r="N30"/>
    </row>
    <row r="31" spans="2:14" s="3" customFormat="1" ht="14.25" thickTop="1" thickBot="1">
      <c r="B31" s="290" t="s">
        <v>173</v>
      </c>
      <c r="C31" s="413">
        <f>SUM(D31:F31)</f>
        <v>222</v>
      </c>
      <c r="D31" s="413" t="s">
        <v>156</v>
      </c>
      <c r="E31" s="413">
        <v>222</v>
      </c>
      <c r="F31" s="413" t="s">
        <v>156</v>
      </c>
      <c r="G31" s="183"/>
      <c r="N31"/>
    </row>
    <row r="32" spans="2:14" s="3" customFormat="1" ht="14.25" thickTop="1" thickBot="1">
      <c r="B32" s="290" t="s">
        <v>423</v>
      </c>
      <c r="C32" s="413">
        <f>SUM(D32:F32)</f>
        <v>17749</v>
      </c>
      <c r="D32" s="413">
        <v>2768</v>
      </c>
      <c r="E32" s="413">
        <v>4743</v>
      </c>
      <c r="F32" s="413">
        <v>10238</v>
      </c>
      <c r="G32" s="183"/>
      <c r="N32"/>
    </row>
    <row r="33" spans="2:14" s="3" customFormat="1" ht="14.25" thickTop="1" thickBot="1">
      <c r="B33" s="290"/>
      <c r="C33" s="413"/>
      <c r="D33" s="413"/>
      <c r="E33" s="413"/>
      <c r="F33" s="413"/>
      <c r="G33" s="183"/>
      <c r="N33"/>
    </row>
    <row r="34" spans="2:14" s="3" customFormat="1" ht="14.25" thickTop="1" thickBot="1">
      <c r="B34" s="272" t="s">
        <v>275</v>
      </c>
      <c r="C34" s="413">
        <f>SUM(C35:C39)</f>
        <v>138595</v>
      </c>
      <c r="D34" s="413">
        <f>SUM(D35:D39)</f>
        <v>13916</v>
      </c>
      <c r="E34" s="413">
        <f>SUM(E35:E39)</f>
        <v>24124</v>
      </c>
      <c r="F34" s="413">
        <f>SUM(F35:F39)</f>
        <v>100555</v>
      </c>
      <c r="G34" s="183"/>
      <c r="N34"/>
    </row>
    <row r="35" spans="2:14" s="3" customFormat="1" ht="14.25" thickTop="1" thickBot="1">
      <c r="B35" s="290" t="s">
        <v>170</v>
      </c>
      <c r="C35" s="413">
        <f>SUM(D35:F35)</f>
        <v>90827</v>
      </c>
      <c r="D35" s="413">
        <v>8903</v>
      </c>
      <c r="E35" s="413">
        <v>14654</v>
      </c>
      <c r="F35" s="413">
        <v>67270</v>
      </c>
      <c r="G35" s="183"/>
      <c r="N35"/>
    </row>
    <row r="36" spans="2:14" s="3" customFormat="1" ht="14.25" thickTop="1" thickBot="1">
      <c r="B36" s="290" t="s">
        <v>171</v>
      </c>
      <c r="C36" s="413">
        <f>SUM(D36:F36)</f>
        <v>7230</v>
      </c>
      <c r="D36" s="413">
        <v>132</v>
      </c>
      <c r="E36" s="413">
        <v>751</v>
      </c>
      <c r="F36" s="413">
        <v>6347</v>
      </c>
      <c r="G36" s="183"/>
      <c r="N36"/>
    </row>
    <row r="37" spans="2:14" s="3" customFormat="1" ht="14.25" thickTop="1" thickBot="1">
      <c r="B37" s="290" t="s">
        <v>172</v>
      </c>
      <c r="C37" s="413">
        <f>SUM(D37:F37)</f>
        <v>22575</v>
      </c>
      <c r="D37" s="413">
        <v>1743</v>
      </c>
      <c r="E37" s="413">
        <v>4390</v>
      </c>
      <c r="F37" s="413">
        <v>16442</v>
      </c>
      <c r="G37" s="183"/>
      <c r="N37"/>
    </row>
    <row r="38" spans="2:14" s="3" customFormat="1" ht="14.25" thickTop="1" thickBot="1">
      <c r="B38" s="290" t="s">
        <v>173</v>
      </c>
      <c r="C38" s="413">
        <f>SUM(D38:F38)</f>
        <v>2102</v>
      </c>
      <c r="D38" s="413">
        <v>852</v>
      </c>
      <c r="E38" s="413">
        <v>479</v>
      </c>
      <c r="F38" s="413">
        <v>771</v>
      </c>
      <c r="G38" s="183"/>
      <c r="N38"/>
    </row>
    <row r="39" spans="2:14" s="3" customFormat="1" ht="14.25" thickTop="1" thickBot="1">
      <c r="B39" s="290" t="s">
        <v>423</v>
      </c>
      <c r="C39" s="413">
        <f>SUM(D39:F39)</f>
        <v>15861</v>
      </c>
      <c r="D39" s="413">
        <v>2286</v>
      </c>
      <c r="E39" s="413">
        <v>3850</v>
      </c>
      <c r="F39" s="413">
        <v>9725</v>
      </c>
      <c r="G39" s="183"/>
      <c r="N39"/>
    </row>
    <row r="40" spans="2:14" s="3" customFormat="1" ht="14.25" thickTop="1" thickBot="1">
      <c r="B40" s="290"/>
      <c r="C40" s="413"/>
      <c r="D40" s="413"/>
      <c r="E40" s="413"/>
      <c r="F40" s="413"/>
      <c r="G40" s="183"/>
      <c r="N40"/>
    </row>
    <row r="41" spans="2:14" s="3" customFormat="1" ht="14.25" thickTop="1" thickBot="1">
      <c r="B41" s="272" t="s">
        <v>120</v>
      </c>
      <c r="C41" s="413">
        <f>SUM(C42:C46)</f>
        <v>120445</v>
      </c>
      <c r="D41" s="413">
        <f>SUM(D42:D46)</f>
        <v>11199</v>
      </c>
      <c r="E41" s="413">
        <f>SUM(E42:E46)</f>
        <v>23331</v>
      </c>
      <c r="F41" s="413">
        <f>SUM(F42:F46)</f>
        <v>85915</v>
      </c>
      <c r="G41" s="183"/>
      <c r="N41"/>
    </row>
    <row r="42" spans="2:14" s="3" customFormat="1" ht="14.25" thickTop="1" thickBot="1">
      <c r="B42" s="290" t="s">
        <v>170</v>
      </c>
      <c r="C42" s="413">
        <f>SUM(D42:F42)</f>
        <v>75033</v>
      </c>
      <c r="D42" s="413">
        <v>6171</v>
      </c>
      <c r="E42" s="413">
        <v>14982</v>
      </c>
      <c r="F42" s="413">
        <v>53880</v>
      </c>
      <c r="G42" s="183"/>
      <c r="N42"/>
    </row>
    <row r="43" spans="2:14" s="3" customFormat="1" ht="14.25" thickTop="1" thickBot="1">
      <c r="B43" s="290" t="s">
        <v>171</v>
      </c>
      <c r="C43" s="413">
        <f>SUM(D43:F43)</f>
        <v>6585</v>
      </c>
      <c r="D43" s="413">
        <v>420</v>
      </c>
      <c r="E43" s="413">
        <v>678</v>
      </c>
      <c r="F43" s="413">
        <v>5487</v>
      </c>
      <c r="G43" s="183"/>
      <c r="N43"/>
    </row>
    <row r="44" spans="2:14" s="3" customFormat="1" ht="14.25" thickTop="1" thickBot="1">
      <c r="B44" s="290" t="s">
        <v>172</v>
      </c>
      <c r="C44" s="413">
        <f>SUM(D44:F44)</f>
        <v>21069</v>
      </c>
      <c r="D44" s="413">
        <v>1621</v>
      </c>
      <c r="E44" s="413">
        <v>3531</v>
      </c>
      <c r="F44" s="413">
        <v>15917</v>
      </c>
      <c r="G44" s="183"/>
      <c r="N44"/>
    </row>
    <row r="45" spans="2:14" s="3" customFormat="1" ht="14.25" thickTop="1" thickBot="1">
      <c r="B45" s="290" t="s">
        <v>173</v>
      </c>
      <c r="C45" s="413">
        <f>SUM(D45:F45)</f>
        <v>2626</v>
      </c>
      <c r="D45" s="413">
        <v>1082</v>
      </c>
      <c r="E45" s="413">
        <v>706</v>
      </c>
      <c r="F45" s="413">
        <v>838</v>
      </c>
      <c r="G45" s="183"/>
      <c r="N45"/>
    </row>
    <row r="46" spans="2:14" s="3" customFormat="1" ht="14.25" thickTop="1" thickBot="1">
      <c r="B46" s="290" t="s">
        <v>423</v>
      </c>
      <c r="C46" s="413">
        <f>SUM(D46:F46)</f>
        <v>15132</v>
      </c>
      <c r="D46" s="413">
        <v>1905</v>
      </c>
      <c r="E46" s="413">
        <v>3434</v>
      </c>
      <c r="F46" s="413">
        <v>9793</v>
      </c>
      <c r="G46" s="183"/>
      <c r="N46"/>
    </row>
    <row r="47" spans="2:14" s="3" customFormat="1" ht="14.25" thickTop="1" thickBot="1">
      <c r="B47" s="290"/>
      <c r="C47" s="413"/>
      <c r="D47" s="413"/>
      <c r="E47" s="413"/>
      <c r="F47" s="413"/>
      <c r="G47" s="183"/>
      <c r="N47"/>
    </row>
    <row r="48" spans="2:14" s="3" customFormat="1" ht="14.25" thickTop="1" thickBot="1">
      <c r="B48" s="272" t="s">
        <v>103</v>
      </c>
      <c r="C48" s="413">
        <f>SUM(C49:C53)</f>
        <v>1561637</v>
      </c>
      <c r="D48" s="413">
        <f>SUM(D49:D53)</f>
        <v>99034</v>
      </c>
      <c r="E48" s="413">
        <f>SUM(E49:E53)</f>
        <v>229814</v>
      </c>
      <c r="F48" s="413">
        <f>SUM(F49:F53)</f>
        <v>1232789</v>
      </c>
      <c r="G48" s="183"/>
      <c r="N48"/>
    </row>
    <row r="49" spans="2:13" ht="14.25" thickTop="1" thickBot="1">
      <c r="B49" s="290" t="s">
        <v>170</v>
      </c>
      <c r="C49" s="413">
        <f>SUM(D49:F49)</f>
        <v>968085</v>
      </c>
      <c r="D49" s="413">
        <v>58737</v>
      </c>
      <c r="E49" s="413">
        <v>148267</v>
      </c>
      <c r="F49" s="413">
        <v>761081</v>
      </c>
      <c r="G49" s="183"/>
    </row>
    <row r="50" spans="2:13" ht="14.25" thickTop="1" thickBot="1">
      <c r="B50" s="290" t="s">
        <v>171</v>
      </c>
      <c r="C50" s="413">
        <f>SUM(D50:F50)</f>
        <v>144885</v>
      </c>
      <c r="D50" s="413">
        <v>3610</v>
      </c>
      <c r="E50" s="413">
        <v>8392</v>
      </c>
      <c r="F50" s="413">
        <v>132883</v>
      </c>
      <c r="G50" s="183"/>
    </row>
    <row r="51" spans="2:13" ht="14.25" thickTop="1" thickBot="1">
      <c r="B51" s="290" t="s">
        <v>172</v>
      </c>
      <c r="C51" s="413">
        <f>SUM(D51:F51)</f>
        <v>290217</v>
      </c>
      <c r="D51" s="413">
        <v>16308</v>
      </c>
      <c r="E51" s="413">
        <v>39657</v>
      </c>
      <c r="F51" s="413">
        <v>234252</v>
      </c>
      <c r="G51" s="183"/>
    </row>
    <row r="52" spans="2:13" ht="14.25" thickTop="1" thickBot="1">
      <c r="B52" s="290" t="s">
        <v>173</v>
      </c>
      <c r="C52" s="413">
        <f>SUM(D52:F52)</f>
        <v>28243</v>
      </c>
      <c r="D52" s="413">
        <v>6194</v>
      </c>
      <c r="E52" s="413">
        <v>7586</v>
      </c>
      <c r="F52" s="413">
        <v>14463</v>
      </c>
      <c r="G52" s="183"/>
    </row>
    <row r="53" spans="2:13" ht="14.25" thickTop="1" thickBot="1">
      <c r="B53" s="290" t="s">
        <v>423</v>
      </c>
      <c r="C53" s="413">
        <f>SUM(D53:F53)</f>
        <v>130207</v>
      </c>
      <c r="D53" s="413">
        <v>14185</v>
      </c>
      <c r="E53" s="413">
        <v>25912</v>
      </c>
      <c r="F53" s="413">
        <v>90110</v>
      </c>
      <c r="G53" s="183"/>
    </row>
    <row r="54" spans="2:13" ht="14.25" thickTop="1" thickBot="1">
      <c r="B54" s="297"/>
      <c r="C54" s="318"/>
      <c r="D54" s="318"/>
      <c r="E54" s="318"/>
      <c r="F54" s="318"/>
    </row>
    <row r="55" spans="2:13" ht="14.25" thickTop="1" thickBot="1">
      <c r="B55" s="478" t="s">
        <v>513</v>
      </c>
      <c r="C55" s="479"/>
      <c r="D55" s="479"/>
      <c r="E55" s="479"/>
      <c r="F55" s="479"/>
      <c r="G55"/>
      <c r="H55"/>
      <c r="I55"/>
      <c r="J55"/>
      <c r="K55"/>
      <c r="L55"/>
      <c r="M55"/>
    </row>
    <row r="56" spans="2:13" ht="13.5" thickTop="1">
      <c r="C56" s="183"/>
      <c r="D56" s="183"/>
      <c r="E56" s="183"/>
      <c r="F56" s="183"/>
      <c r="G56"/>
      <c r="H56"/>
      <c r="I56"/>
      <c r="J56"/>
      <c r="K56"/>
      <c r="L56"/>
      <c r="M56"/>
    </row>
    <row r="57" spans="2:13">
      <c r="C57" s="183"/>
      <c r="D57" s="183"/>
      <c r="E57" s="183"/>
      <c r="F57" s="183"/>
      <c r="G57"/>
      <c r="H57"/>
      <c r="I57"/>
      <c r="J57"/>
      <c r="K57"/>
      <c r="L57"/>
      <c r="M57"/>
    </row>
    <row r="58" spans="2:13">
      <c r="B58" s="123"/>
      <c r="C58" s="183"/>
      <c r="D58" s="183"/>
      <c r="E58" s="183"/>
      <c r="F58" s="183"/>
      <c r="G58"/>
      <c r="H58"/>
      <c r="I58"/>
      <c r="J58"/>
      <c r="K58"/>
      <c r="L58"/>
      <c r="M58"/>
    </row>
    <row r="59" spans="2:13">
      <c r="C59" s="183"/>
      <c r="D59" s="183"/>
      <c r="E59" s="183"/>
      <c r="F59" s="183"/>
      <c r="G59"/>
      <c r="H59"/>
      <c r="I59"/>
      <c r="J59"/>
      <c r="K59"/>
      <c r="L59"/>
      <c r="M59"/>
    </row>
    <row r="60" spans="2:13">
      <c r="C60" s="183"/>
      <c r="D60" s="183"/>
      <c r="E60" s="183"/>
      <c r="F60" s="183"/>
      <c r="G60"/>
      <c r="H60"/>
      <c r="I60"/>
      <c r="J60"/>
      <c r="K60"/>
      <c r="L60"/>
      <c r="M60"/>
    </row>
    <row r="61" spans="2:13">
      <c r="C61" s="183"/>
      <c r="D61" s="183"/>
      <c r="E61" s="183"/>
      <c r="F61" s="183"/>
      <c r="G61"/>
      <c r="H61"/>
      <c r="I61"/>
      <c r="J61"/>
      <c r="K61"/>
      <c r="L61"/>
      <c r="M61"/>
    </row>
    <row r="62" spans="2:13">
      <c r="C62" s="123"/>
      <c r="D62" s="123"/>
      <c r="F62" s="123"/>
      <c r="G62"/>
      <c r="H62"/>
      <c r="I62"/>
      <c r="J62"/>
      <c r="K62"/>
      <c r="L62"/>
      <c r="M62"/>
    </row>
    <row r="63" spans="2:13">
      <c r="C63" s="123"/>
      <c r="F63" s="123"/>
      <c r="G63"/>
      <c r="H63"/>
      <c r="I63"/>
      <c r="J63"/>
      <c r="K63"/>
      <c r="L63"/>
      <c r="M63"/>
    </row>
    <row r="64" spans="2:13">
      <c r="C64" s="123"/>
      <c r="F64" s="123"/>
      <c r="G64"/>
      <c r="H64"/>
      <c r="I64"/>
      <c r="J64"/>
      <c r="K64"/>
      <c r="L64"/>
      <c r="M64"/>
    </row>
    <row r="65" spans="3:3">
      <c r="C65" s="123"/>
    </row>
  </sheetData>
  <mergeCells count="6">
    <mergeCell ref="B55:F55"/>
    <mergeCell ref="B2:F2"/>
    <mergeCell ref="B3:F3"/>
    <mergeCell ref="B4:B5"/>
    <mergeCell ref="C4:C5"/>
    <mergeCell ref="D4:F4"/>
  </mergeCells>
  <hyperlinks>
    <hyperlink ref="B3:F3" location="'Capitulo 3'!B34" display=" Total de hogares por nivel de pobreza, según tipo de tenencia de la vivienda y región. 2018." xr:uid="{00000000-0004-0000-1D00-000000000000}"/>
  </hyperlinks>
  <pageMargins left="0.75" right="0.75" top="1" bottom="1" header="0" footer="0"/>
  <pageSetup orientation="landscape" horizontalDpi="180" verticalDpi="180" r:id="rId1"/>
  <headerFooter alignWithMargins="0"/>
  <ignoredErrors>
    <ignoredError sqref="C13 C20:F20 C27 C34 C41 C48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N58"/>
  <sheetViews>
    <sheetView showGridLines="0" zoomScaleNormal="100" workbookViewId="0">
      <pane ySplit="5" topLeftCell="A6" activePane="bottomLeft" state="frozen"/>
      <selection pane="bottomLeft" activeCell="J10" sqref="J10"/>
    </sheetView>
  </sheetViews>
  <sheetFormatPr baseColWidth="10" defaultColWidth="11.42578125" defaultRowHeight="12.75"/>
  <cols>
    <col min="1" max="1" width="11.42578125" customWidth="1"/>
    <col min="2" max="2" width="57" style="3" bestFit="1" customWidth="1"/>
    <col min="3" max="3" width="24.7109375" style="3" customWidth="1"/>
    <col min="4" max="4" width="16" style="3" customWidth="1"/>
    <col min="5" max="5" width="19" style="3" customWidth="1"/>
    <col min="6" max="6" width="18.140625" style="3" customWidth="1"/>
    <col min="7" max="13" width="11.42578125" style="3" customWidth="1"/>
  </cols>
  <sheetData>
    <row r="2" spans="2:14" ht="15">
      <c r="B2" s="462" t="s">
        <v>455</v>
      </c>
      <c r="C2" s="462"/>
      <c r="D2" s="462"/>
      <c r="E2" s="462"/>
      <c r="F2" s="462"/>
    </row>
    <row r="3" spans="2:14" ht="16.5" customHeight="1" thickBot="1">
      <c r="B3" s="482" t="s">
        <v>670</v>
      </c>
      <c r="C3" s="482"/>
      <c r="D3" s="482"/>
      <c r="E3" s="482"/>
      <c r="F3" s="482"/>
    </row>
    <row r="4" spans="2:14" ht="14.25" thickTop="1" thickBot="1">
      <c r="B4" s="494" t="s">
        <v>671</v>
      </c>
      <c r="C4" s="494" t="s">
        <v>304</v>
      </c>
      <c r="D4" s="459" t="s">
        <v>284</v>
      </c>
      <c r="E4" s="460"/>
      <c r="F4" s="460"/>
    </row>
    <row r="5" spans="2:14" ht="27" thickTop="1" thickBot="1">
      <c r="B5" s="503"/>
      <c r="C5" s="503"/>
      <c r="D5" s="314" t="s">
        <v>270</v>
      </c>
      <c r="E5" s="314" t="s">
        <v>271</v>
      </c>
      <c r="F5" s="314" t="s">
        <v>283</v>
      </c>
    </row>
    <row r="6" spans="2:14" ht="14.25" thickTop="1" thickBot="1">
      <c r="B6" s="272" t="s">
        <v>139</v>
      </c>
      <c r="C6" s="413">
        <v>965988</v>
      </c>
      <c r="D6" s="413">
        <v>42749</v>
      </c>
      <c r="E6" s="413">
        <v>118580</v>
      </c>
      <c r="F6" s="413">
        <v>804659</v>
      </c>
      <c r="G6" s="183"/>
    </row>
    <row r="7" spans="2:14" ht="18.75" customHeight="1" thickTop="1" thickBot="1">
      <c r="B7" s="290" t="s">
        <v>141</v>
      </c>
      <c r="C7" s="413">
        <v>56698</v>
      </c>
      <c r="D7" s="413">
        <v>9244</v>
      </c>
      <c r="E7" s="413">
        <v>13506</v>
      </c>
      <c r="F7" s="413">
        <v>33948</v>
      </c>
      <c r="G7" s="183"/>
    </row>
    <row r="8" spans="2:14" ht="18.75" customHeight="1" thickTop="1" thickBot="1">
      <c r="B8" s="290" t="s">
        <v>142</v>
      </c>
      <c r="C8" s="413">
        <v>15895</v>
      </c>
      <c r="D8" s="413">
        <v>2407</v>
      </c>
      <c r="E8" s="413">
        <v>5165</v>
      </c>
      <c r="F8" s="413">
        <v>8323</v>
      </c>
      <c r="G8" s="183"/>
    </row>
    <row r="9" spans="2:14" ht="16.5" customHeight="1" thickTop="1" thickBot="1">
      <c r="B9" s="290" t="s">
        <v>143</v>
      </c>
      <c r="C9" s="413">
        <v>271100</v>
      </c>
      <c r="D9" s="413">
        <v>16477</v>
      </c>
      <c r="E9" s="413">
        <v>49152</v>
      </c>
      <c r="F9" s="413">
        <v>205471</v>
      </c>
      <c r="G9" s="183"/>
    </row>
    <row r="10" spans="2:14" ht="17.25" customHeight="1" thickTop="1" thickBot="1">
      <c r="B10" s="290" t="s">
        <v>144</v>
      </c>
      <c r="C10" s="413">
        <v>622295</v>
      </c>
      <c r="D10" s="413">
        <v>14621</v>
      </c>
      <c r="E10" s="413">
        <v>50757</v>
      </c>
      <c r="F10" s="413">
        <v>556917</v>
      </c>
      <c r="G10" s="183"/>
    </row>
    <row r="11" spans="2:14" ht="17.25" customHeight="1" thickTop="1" thickBot="1">
      <c r="B11" s="290"/>
      <c r="C11" s="413"/>
      <c r="D11" s="413"/>
      <c r="E11" s="413"/>
      <c r="F11" s="413"/>
      <c r="G11" s="183"/>
    </row>
    <row r="12" spans="2:14" ht="14.25" thickTop="1" thickBot="1">
      <c r="B12" s="272" t="s">
        <v>117</v>
      </c>
      <c r="C12" s="413">
        <v>119546</v>
      </c>
      <c r="D12" s="413">
        <v>10520</v>
      </c>
      <c r="E12" s="413">
        <v>20510</v>
      </c>
      <c r="F12" s="413">
        <v>88516</v>
      </c>
      <c r="G12" s="183"/>
      <c r="H12" s="122"/>
      <c r="I12" s="122"/>
      <c r="J12" s="122"/>
      <c r="K12" s="122"/>
      <c r="L12" s="122"/>
      <c r="M12" s="122"/>
      <c r="N12" s="122"/>
    </row>
    <row r="13" spans="2:14" ht="14.25" thickTop="1" thickBot="1">
      <c r="B13" s="290" t="s">
        <v>141</v>
      </c>
      <c r="C13" s="413">
        <v>10448</v>
      </c>
      <c r="D13" s="413">
        <v>2402</v>
      </c>
      <c r="E13" s="413">
        <v>2685</v>
      </c>
      <c r="F13" s="413">
        <v>5361</v>
      </c>
      <c r="G13" s="183"/>
    </row>
    <row r="14" spans="2:14" ht="14.25" thickTop="1" thickBot="1">
      <c r="B14" s="290" t="s">
        <v>142</v>
      </c>
      <c r="C14" s="413">
        <v>4093</v>
      </c>
      <c r="D14" s="413">
        <v>1001</v>
      </c>
      <c r="E14" s="413">
        <v>1510</v>
      </c>
      <c r="F14" s="413">
        <v>1582</v>
      </c>
      <c r="G14" s="183"/>
    </row>
    <row r="15" spans="2:14" ht="14.25" thickTop="1" thickBot="1">
      <c r="B15" s="290" t="s">
        <v>143</v>
      </c>
      <c r="C15" s="413">
        <v>50676</v>
      </c>
      <c r="D15" s="413">
        <v>4972</v>
      </c>
      <c r="E15" s="413">
        <v>11247</v>
      </c>
      <c r="F15" s="413">
        <v>34457</v>
      </c>
      <c r="G15" s="183"/>
    </row>
    <row r="16" spans="2:14" s="3" customFormat="1" ht="14.25" thickTop="1" thickBot="1">
      <c r="B16" s="290" t="s">
        <v>144</v>
      </c>
      <c r="C16" s="413">
        <v>54329</v>
      </c>
      <c r="D16" s="413">
        <v>2145</v>
      </c>
      <c r="E16" s="413">
        <v>5068</v>
      </c>
      <c r="F16" s="413">
        <v>47116</v>
      </c>
      <c r="G16" s="183"/>
      <c r="N16"/>
    </row>
    <row r="17" spans="2:14" s="3" customFormat="1" ht="14.25" thickTop="1" thickBot="1">
      <c r="B17" s="290"/>
      <c r="C17" s="413"/>
      <c r="D17" s="413"/>
      <c r="E17" s="413"/>
      <c r="F17" s="413"/>
      <c r="G17" s="183"/>
      <c r="N17"/>
    </row>
    <row r="18" spans="2:14" s="3" customFormat="1" ht="14.25" thickTop="1" thickBot="1">
      <c r="B18" s="272" t="s">
        <v>118</v>
      </c>
      <c r="C18" s="413">
        <v>93040</v>
      </c>
      <c r="D18" s="413">
        <v>8181</v>
      </c>
      <c r="E18" s="413">
        <v>15755</v>
      </c>
      <c r="F18" s="413">
        <v>69104</v>
      </c>
      <c r="G18" s="183"/>
      <c r="N18"/>
    </row>
    <row r="19" spans="2:14" s="3" customFormat="1" ht="14.25" thickTop="1" thickBot="1">
      <c r="B19" s="290" t="s">
        <v>141</v>
      </c>
      <c r="C19" s="413">
        <v>12960</v>
      </c>
      <c r="D19" s="413">
        <v>2525</v>
      </c>
      <c r="E19" s="413">
        <v>3677</v>
      </c>
      <c r="F19" s="413">
        <v>6758</v>
      </c>
      <c r="G19" s="183"/>
      <c r="N19"/>
    </row>
    <row r="20" spans="2:14" s="3" customFormat="1" ht="14.25" thickTop="1" thickBot="1">
      <c r="B20" s="290" t="s">
        <v>142</v>
      </c>
      <c r="C20" s="413">
        <v>4507</v>
      </c>
      <c r="D20" s="413">
        <v>643</v>
      </c>
      <c r="E20" s="413">
        <v>842</v>
      </c>
      <c r="F20" s="413">
        <v>3022</v>
      </c>
      <c r="G20" s="183"/>
      <c r="N20"/>
    </row>
    <row r="21" spans="2:14" s="3" customFormat="1" ht="14.25" thickTop="1" thickBot="1">
      <c r="B21" s="290" t="s">
        <v>143</v>
      </c>
      <c r="C21" s="413">
        <v>36834</v>
      </c>
      <c r="D21" s="413">
        <v>4129</v>
      </c>
      <c r="E21" s="413">
        <v>7209</v>
      </c>
      <c r="F21" s="413">
        <v>25496</v>
      </c>
      <c r="G21" s="183"/>
      <c r="N21"/>
    </row>
    <row r="22" spans="2:14" s="3" customFormat="1" ht="14.25" thickTop="1" thickBot="1">
      <c r="B22" s="290" t="s">
        <v>144</v>
      </c>
      <c r="C22" s="413">
        <v>38739</v>
      </c>
      <c r="D22" s="413">
        <v>884</v>
      </c>
      <c r="E22" s="413">
        <v>4027</v>
      </c>
      <c r="F22" s="413">
        <v>33828</v>
      </c>
      <c r="G22" s="183"/>
      <c r="N22"/>
    </row>
    <row r="23" spans="2:14" s="3" customFormat="1" ht="14.25" thickTop="1" thickBot="1">
      <c r="B23" s="290"/>
      <c r="C23" s="413"/>
      <c r="D23" s="413"/>
      <c r="E23" s="413"/>
      <c r="F23" s="413"/>
      <c r="G23" s="183"/>
      <c r="N23"/>
    </row>
    <row r="24" spans="2:14" s="3" customFormat="1" ht="14.25" thickTop="1" thickBot="1">
      <c r="B24" s="272" t="s">
        <v>119</v>
      </c>
      <c r="C24" s="413">
        <v>124023</v>
      </c>
      <c r="D24" s="413">
        <v>12469</v>
      </c>
      <c r="E24" s="413">
        <v>27514</v>
      </c>
      <c r="F24" s="413">
        <v>84040</v>
      </c>
      <c r="G24" s="183"/>
      <c r="N24"/>
    </row>
    <row r="25" spans="2:14" s="3" customFormat="1" ht="14.25" thickTop="1" thickBot="1">
      <c r="B25" s="290" t="s">
        <v>141</v>
      </c>
      <c r="C25" s="413">
        <v>15795</v>
      </c>
      <c r="D25" s="413">
        <v>2236</v>
      </c>
      <c r="E25" s="413">
        <v>5533</v>
      </c>
      <c r="F25" s="413">
        <v>8026</v>
      </c>
      <c r="G25" s="183"/>
      <c r="N25"/>
    </row>
    <row r="26" spans="2:14" s="3" customFormat="1" ht="14.25" thickTop="1" thickBot="1">
      <c r="B26" s="290" t="s">
        <v>142</v>
      </c>
      <c r="C26" s="413">
        <v>1654</v>
      </c>
      <c r="D26" s="413">
        <v>819</v>
      </c>
      <c r="E26" s="413">
        <v>0</v>
      </c>
      <c r="F26" s="413">
        <v>835</v>
      </c>
      <c r="G26" s="183"/>
      <c r="N26"/>
    </row>
    <row r="27" spans="2:14" s="3" customFormat="1" ht="14.25" thickTop="1" thickBot="1">
      <c r="B27" s="290" t="s">
        <v>143</v>
      </c>
      <c r="C27" s="413">
        <v>55388</v>
      </c>
      <c r="D27" s="413">
        <v>6645</v>
      </c>
      <c r="E27" s="413">
        <v>13701</v>
      </c>
      <c r="F27" s="413">
        <v>35042</v>
      </c>
      <c r="G27" s="183"/>
      <c r="N27"/>
    </row>
    <row r="28" spans="2:14" s="3" customFormat="1" ht="14.25" thickTop="1" thickBot="1">
      <c r="B28" s="290" t="s">
        <v>144</v>
      </c>
      <c r="C28" s="413">
        <v>51186</v>
      </c>
      <c r="D28" s="413">
        <v>2769</v>
      </c>
      <c r="E28" s="413">
        <v>8280</v>
      </c>
      <c r="F28" s="413">
        <v>40137</v>
      </c>
      <c r="G28" s="183"/>
      <c r="N28"/>
    </row>
    <row r="29" spans="2:14" s="3" customFormat="1" ht="14.25" thickTop="1" thickBot="1">
      <c r="B29" s="290"/>
      <c r="C29" s="413"/>
      <c r="D29" s="413"/>
      <c r="E29" s="413"/>
      <c r="F29" s="413"/>
      <c r="G29" s="183"/>
      <c r="N29"/>
    </row>
    <row r="30" spans="2:14" s="3" customFormat="1" ht="14.25" thickTop="1" thickBot="1">
      <c r="B30" s="272" t="s">
        <v>275</v>
      </c>
      <c r="C30" s="413">
        <v>138595</v>
      </c>
      <c r="D30" s="413">
        <v>13916</v>
      </c>
      <c r="E30" s="413">
        <v>24124</v>
      </c>
      <c r="F30" s="413">
        <v>100555</v>
      </c>
      <c r="G30" s="183"/>
      <c r="N30"/>
    </row>
    <row r="31" spans="2:14" s="3" customFormat="1" ht="14.25" thickTop="1" thickBot="1">
      <c r="B31" s="290" t="s">
        <v>141</v>
      </c>
      <c r="C31" s="413">
        <v>24627</v>
      </c>
      <c r="D31" s="413">
        <v>4991</v>
      </c>
      <c r="E31" s="413">
        <v>5444</v>
      </c>
      <c r="F31" s="413">
        <v>14192</v>
      </c>
      <c r="G31" s="183"/>
      <c r="N31"/>
    </row>
    <row r="32" spans="2:14" s="3" customFormat="1" ht="14.25" thickTop="1" thickBot="1">
      <c r="B32" s="290" t="s">
        <v>142</v>
      </c>
      <c r="C32" s="413">
        <v>4595</v>
      </c>
      <c r="D32" s="413">
        <v>928</v>
      </c>
      <c r="E32" s="413">
        <v>935</v>
      </c>
      <c r="F32" s="413">
        <v>2732</v>
      </c>
      <c r="G32" s="183"/>
      <c r="N32"/>
    </row>
    <row r="33" spans="2:14" s="3" customFormat="1" ht="14.25" thickTop="1" thickBot="1">
      <c r="B33" s="290" t="s">
        <v>143</v>
      </c>
      <c r="C33" s="413">
        <v>56677</v>
      </c>
      <c r="D33" s="413">
        <v>6065</v>
      </c>
      <c r="E33" s="413">
        <v>10282</v>
      </c>
      <c r="F33" s="413">
        <v>40330</v>
      </c>
      <c r="G33" s="183"/>
      <c r="N33"/>
    </row>
    <row r="34" spans="2:14" s="3" customFormat="1" ht="14.25" thickTop="1" thickBot="1">
      <c r="B34" s="290" t="s">
        <v>144</v>
      </c>
      <c r="C34" s="413">
        <v>52696</v>
      </c>
      <c r="D34" s="413">
        <v>1932</v>
      </c>
      <c r="E34" s="413">
        <v>7463</v>
      </c>
      <c r="F34" s="413">
        <v>43301</v>
      </c>
      <c r="G34" s="183"/>
      <c r="N34"/>
    </row>
    <row r="35" spans="2:14" s="3" customFormat="1" ht="14.25" thickTop="1" thickBot="1">
      <c r="B35" s="290"/>
      <c r="C35" s="413"/>
      <c r="D35" s="413"/>
      <c r="E35" s="413"/>
      <c r="F35" s="413"/>
      <c r="G35" s="183"/>
      <c r="N35"/>
    </row>
    <row r="36" spans="2:14" s="3" customFormat="1" ht="14.25" thickTop="1" thickBot="1">
      <c r="B36" s="272" t="s">
        <v>120</v>
      </c>
      <c r="C36" s="413">
        <v>120445</v>
      </c>
      <c r="D36" s="413">
        <v>11199</v>
      </c>
      <c r="E36" s="413">
        <v>23331</v>
      </c>
      <c r="F36" s="413">
        <v>85915</v>
      </c>
      <c r="G36" s="183"/>
      <c r="N36"/>
    </row>
    <row r="37" spans="2:14" s="3" customFormat="1" ht="14.25" thickTop="1" thickBot="1">
      <c r="B37" s="290" t="s">
        <v>141</v>
      </c>
      <c r="C37" s="413">
        <v>15661</v>
      </c>
      <c r="D37" s="413">
        <v>4079</v>
      </c>
      <c r="E37" s="413">
        <v>4158</v>
      </c>
      <c r="F37" s="413">
        <v>7424</v>
      </c>
      <c r="G37" s="183"/>
      <c r="N37"/>
    </row>
    <row r="38" spans="2:14" s="3" customFormat="1" ht="14.25" thickTop="1" thickBot="1">
      <c r="B38" s="290" t="s">
        <v>142</v>
      </c>
      <c r="C38" s="413">
        <v>4931</v>
      </c>
      <c r="D38" s="413">
        <v>772</v>
      </c>
      <c r="E38" s="413">
        <v>1696</v>
      </c>
      <c r="F38" s="413">
        <v>2463</v>
      </c>
      <c r="G38" s="183"/>
      <c r="N38"/>
    </row>
    <row r="39" spans="2:14" s="3" customFormat="1" ht="14.25" thickTop="1" thickBot="1">
      <c r="B39" s="290" t="s">
        <v>143</v>
      </c>
      <c r="C39" s="413">
        <v>45991</v>
      </c>
      <c r="D39" s="413">
        <v>4329</v>
      </c>
      <c r="E39" s="413">
        <v>11023</v>
      </c>
      <c r="F39" s="413">
        <v>30639</v>
      </c>
      <c r="G39" s="183"/>
      <c r="N39"/>
    </row>
    <row r="40" spans="2:14" s="3" customFormat="1" ht="14.25" thickTop="1" thickBot="1">
      <c r="B40" s="290" t="s">
        <v>144</v>
      </c>
      <c r="C40" s="413">
        <v>53862</v>
      </c>
      <c r="D40" s="413">
        <v>2019</v>
      </c>
      <c r="E40" s="413">
        <v>6454</v>
      </c>
      <c r="F40" s="413">
        <v>45389</v>
      </c>
      <c r="G40" s="183"/>
      <c r="N40"/>
    </row>
    <row r="41" spans="2:14" s="3" customFormat="1" ht="14.25" thickTop="1" thickBot="1">
      <c r="B41" s="290"/>
      <c r="C41" s="413"/>
      <c r="D41" s="413"/>
      <c r="E41" s="413"/>
      <c r="F41" s="413"/>
      <c r="G41" s="183"/>
      <c r="N41"/>
    </row>
    <row r="42" spans="2:14" s="3" customFormat="1" ht="14.25" thickTop="1" thickBot="1">
      <c r="B42" s="272" t="s">
        <v>103</v>
      </c>
      <c r="C42" s="413">
        <f t="shared" ref="C42:F46" si="0">+C6+C12+C18+C24+C30+C36</f>
        <v>1561637</v>
      </c>
      <c r="D42" s="413">
        <f t="shared" si="0"/>
        <v>99034</v>
      </c>
      <c r="E42" s="413">
        <f t="shared" si="0"/>
        <v>229814</v>
      </c>
      <c r="F42" s="413">
        <f t="shared" si="0"/>
        <v>1232789</v>
      </c>
      <c r="G42" s="183"/>
      <c r="N42"/>
    </row>
    <row r="43" spans="2:14" ht="14.25" thickTop="1" thickBot="1">
      <c r="B43" s="290" t="s">
        <v>141</v>
      </c>
      <c r="C43" s="413">
        <f t="shared" si="0"/>
        <v>136189</v>
      </c>
      <c r="D43" s="413">
        <f t="shared" si="0"/>
        <v>25477</v>
      </c>
      <c r="E43" s="413">
        <f t="shared" si="0"/>
        <v>35003</v>
      </c>
      <c r="F43" s="413">
        <f t="shared" si="0"/>
        <v>75709</v>
      </c>
      <c r="G43" s="183"/>
    </row>
    <row r="44" spans="2:14" ht="14.25" thickTop="1" thickBot="1">
      <c r="B44" s="290" t="s">
        <v>142</v>
      </c>
      <c r="C44" s="413">
        <f t="shared" si="0"/>
        <v>35675</v>
      </c>
      <c r="D44" s="413">
        <f t="shared" si="0"/>
        <v>6570</v>
      </c>
      <c r="E44" s="413">
        <f t="shared" si="0"/>
        <v>10148</v>
      </c>
      <c r="F44" s="413">
        <f t="shared" si="0"/>
        <v>18957</v>
      </c>
      <c r="G44" s="183"/>
    </row>
    <row r="45" spans="2:14" ht="14.25" thickTop="1" thickBot="1">
      <c r="B45" s="290" t="s">
        <v>143</v>
      </c>
      <c r="C45" s="413">
        <f t="shared" si="0"/>
        <v>516666</v>
      </c>
      <c r="D45" s="413">
        <f t="shared" si="0"/>
        <v>42617</v>
      </c>
      <c r="E45" s="413">
        <f t="shared" si="0"/>
        <v>102614</v>
      </c>
      <c r="F45" s="413">
        <f t="shared" si="0"/>
        <v>371435</v>
      </c>
      <c r="G45" s="183"/>
    </row>
    <row r="46" spans="2:14" ht="14.25" thickTop="1" thickBot="1">
      <c r="B46" s="290" t="s">
        <v>144</v>
      </c>
      <c r="C46" s="413">
        <f t="shared" si="0"/>
        <v>873107</v>
      </c>
      <c r="D46" s="413">
        <f t="shared" si="0"/>
        <v>24370</v>
      </c>
      <c r="E46" s="413">
        <f t="shared" si="0"/>
        <v>82049</v>
      </c>
      <c r="F46" s="413">
        <f t="shared" si="0"/>
        <v>766688</v>
      </c>
      <c r="G46" s="183"/>
    </row>
    <row r="47" spans="2:14" ht="15.75" thickTop="1" thickBot="1">
      <c r="B47" s="293"/>
      <c r="C47" s="308"/>
      <c r="D47" s="308"/>
      <c r="E47" s="308"/>
      <c r="F47" s="308"/>
    </row>
    <row r="48" spans="2:14" ht="14.25" thickTop="1" thickBot="1">
      <c r="B48" s="478" t="s">
        <v>513</v>
      </c>
      <c r="C48" s="479"/>
      <c r="D48" s="479"/>
      <c r="E48" s="479"/>
      <c r="F48" s="479"/>
      <c r="G48"/>
      <c r="H48"/>
      <c r="I48"/>
      <c r="J48"/>
      <c r="K48"/>
      <c r="L48"/>
      <c r="M48"/>
    </row>
    <row r="49" spans="2:13" ht="13.5" thickTop="1">
      <c r="C49" s="183"/>
      <c r="D49" s="183"/>
      <c r="E49" s="183"/>
      <c r="F49" s="183"/>
      <c r="G49"/>
      <c r="H49"/>
      <c r="I49"/>
      <c r="J49"/>
      <c r="K49"/>
      <c r="L49"/>
      <c r="M49"/>
    </row>
    <row r="50" spans="2:13">
      <c r="C50" s="183"/>
      <c r="D50" s="183"/>
      <c r="E50" s="183"/>
      <c r="F50" s="183"/>
      <c r="G50"/>
      <c r="H50"/>
      <c r="I50"/>
      <c r="J50"/>
      <c r="K50"/>
      <c r="L50"/>
      <c r="M50"/>
    </row>
    <row r="51" spans="2:13">
      <c r="B51" s="123"/>
      <c r="C51" s="183"/>
      <c r="D51" s="183"/>
      <c r="E51" s="183"/>
      <c r="F51" s="183"/>
      <c r="G51"/>
      <c r="H51"/>
      <c r="I51"/>
      <c r="J51"/>
      <c r="K51"/>
      <c r="L51"/>
      <c r="M51"/>
    </row>
    <row r="52" spans="2:13">
      <c r="C52" s="183"/>
      <c r="D52" s="183"/>
      <c r="E52" s="183"/>
      <c r="F52" s="183"/>
      <c r="G52"/>
      <c r="H52"/>
      <c r="I52"/>
      <c r="J52"/>
      <c r="K52"/>
      <c r="L52"/>
      <c r="M52"/>
    </row>
    <row r="53" spans="2:13">
      <c r="C53" s="183"/>
      <c r="D53" s="183"/>
      <c r="E53" s="183"/>
      <c r="F53" s="183"/>
      <c r="G53"/>
      <c r="H53"/>
      <c r="I53"/>
      <c r="J53"/>
      <c r="K53"/>
      <c r="L53"/>
      <c r="M53"/>
    </row>
    <row r="54" spans="2:13">
      <c r="C54" s="183"/>
      <c r="D54" s="183"/>
      <c r="E54" s="183"/>
      <c r="F54" s="183"/>
      <c r="G54"/>
      <c r="H54"/>
      <c r="I54"/>
      <c r="J54"/>
      <c r="K54"/>
      <c r="L54"/>
      <c r="M54"/>
    </row>
    <row r="55" spans="2:13">
      <c r="C55" s="123"/>
      <c r="D55" s="123"/>
      <c r="F55" s="123"/>
      <c r="G55"/>
      <c r="H55"/>
      <c r="I55"/>
      <c r="J55"/>
      <c r="K55"/>
      <c r="L55"/>
      <c r="M55"/>
    </row>
    <row r="56" spans="2:13">
      <c r="C56" s="123"/>
      <c r="F56" s="123"/>
      <c r="G56"/>
      <c r="H56"/>
      <c r="I56"/>
      <c r="J56"/>
      <c r="K56"/>
      <c r="L56"/>
      <c r="M56"/>
    </row>
    <row r="57" spans="2:13">
      <c r="C57" s="123"/>
      <c r="F57" s="123"/>
      <c r="G57"/>
      <c r="H57"/>
      <c r="I57"/>
      <c r="J57"/>
      <c r="K57"/>
      <c r="L57"/>
      <c r="M57"/>
    </row>
    <row r="58" spans="2:13">
      <c r="C58" s="123"/>
    </row>
  </sheetData>
  <mergeCells count="6">
    <mergeCell ref="B48:F48"/>
    <mergeCell ref="B2:F2"/>
    <mergeCell ref="B3:F3"/>
    <mergeCell ref="B4:B5"/>
    <mergeCell ref="C4:C5"/>
    <mergeCell ref="D4:F4"/>
  </mergeCells>
  <hyperlinks>
    <hyperlink ref="B3:F3" location="'Capitulo 3'!B35" display=" Total de hogares por nivel de pobreza, según calificación de la vivienda y región. 2018." xr:uid="{00000000-0004-0000-1E00-000000000000}"/>
  </hyperlinks>
  <pageMargins left="0.75" right="0.75" top="1" bottom="1" header="0" footer="0"/>
  <pageSetup orientation="landscape" horizontalDpi="180" verticalDpi="18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1:I39"/>
  <sheetViews>
    <sheetView showGridLines="0" zoomScaleNormal="100" workbookViewId="0">
      <pane ySplit="6" topLeftCell="A7" activePane="bottomLeft" state="frozen"/>
      <selection pane="bottomLeft" activeCell="L15" sqref="L15"/>
    </sheetView>
  </sheetViews>
  <sheetFormatPr baseColWidth="10" defaultColWidth="11" defaultRowHeight="14.25"/>
  <cols>
    <col min="1" max="1" width="11" style="3"/>
    <col min="2" max="2" width="18.140625" style="15" customWidth="1"/>
    <col min="3" max="3" width="23.140625" style="15" customWidth="1"/>
    <col min="4" max="4" width="23.140625" style="15" hidden="1" customWidth="1"/>
    <col min="5" max="5" width="23.140625" style="15" customWidth="1"/>
    <col min="6" max="6" width="18.42578125" style="3" customWidth="1"/>
    <col min="7" max="7" width="19.7109375" style="3" customWidth="1"/>
    <col min="8" max="8" width="20.5703125" style="3" customWidth="1"/>
    <col min="9" max="16384" width="11" style="3"/>
  </cols>
  <sheetData>
    <row r="1" spans="2:9" ht="15.75">
      <c r="B1" s="28"/>
      <c r="C1" s="10"/>
      <c r="D1" s="10"/>
      <c r="E1" s="10"/>
    </row>
    <row r="2" spans="2:9" ht="15">
      <c r="B2" s="462" t="s">
        <v>456</v>
      </c>
      <c r="C2" s="462"/>
      <c r="D2" s="462"/>
      <c r="E2" s="462"/>
      <c r="F2" s="462"/>
      <c r="G2" s="462"/>
      <c r="H2" s="462"/>
    </row>
    <row r="3" spans="2:9" ht="45" customHeight="1" thickBot="1">
      <c r="B3" s="482" t="s">
        <v>520</v>
      </c>
      <c r="C3" s="482"/>
      <c r="D3" s="482"/>
      <c r="E3" s="482"/>
      <c r="F3" s="482"/>
      <c r="G3" s="482"/>
      <c r="H3" s="482"/>
    </row>
    <row r="4" spans="2:9" ht="14.25" customHeight="1" thickTop="1">
      <c r="B4" s="554" t="s">
        <v>272</v>
      </c>
      <c r="C4" s="553" t="s">
        <v>306</v>
      </c>
      <c r="D4" s="554"/>
      <c r="E4" s="554"/>
      <c r="F4" s="554"/>
      <c r="G4" s="554"/>
      <c r="H4" s="554"/>
    </row>
    <row r="5" spans="2:9" ht="13.5" customHeight="1" thickBot="1">
      <c r="B5" s="557"/>
      <c r="C5" s="555"/>
      <c r="D5" s="556"/>
      <c r="E5" s="556"/>
      <c r="F5" s="556"/>
      <c r="G5" s="556"/>
      <c r="H5" s="556"/>
    </row>
    <row r="6" spans="2:9" ht="79.5" customHeight="1" thickBot="1">
      <c r="B6" s="503"/>
      <c r="C6" s="319" t="s">
        <v>307</v>
      </c>
      <c r="D6" s="319" t="s">
        <v>146</v>
      </c>
      <c r="E6" s="319" t="s">
        <v>308</v>
      </c>
      <c r="F6" s="319" t="s">
        <v>305</v>
      </c>
      <c r="G6" s="319" t="s">
        <v>1084</v>
      </c>
      <c r="H6" s="319" t="s">
        <v>437</v>
      </c>
    </row>
    <row r="7" spans="2:9" thickTop="1" thickBot="1">
      <c r="B7" s="272" t="s">
        <v>139</v>
      </c>
      <c r="C7" s="413">
        <v>196710</v>
      </c>
      <c r="D7" s="252">
        <v>949460</v>
      </c>
      <c r="E7" s="320">
        <f t="shared" ref="E7:E13" si="0">+C7/D7</f>
        <v>0.20718092389358161</v>
      </c>
      <c r="F7" s="321">
        <v>179612</v>
      </c>
      <c r="G7" s="321">
        <v>1197541</v>
      </c>
      <c r="H7" s="320">
        <f>+F7/G7</f>
        <v>0.14998400889823396</v>
      </c>
    </row>
    <row r="8" spans="2:9" thickTop="1" thickBot="1">
      <c r="B8" s="272" t="s">
        <v>117</v>
      </c>
      <c r="C8" s="413">
        <v>15878</v>
      </c>
      <c r="D8" s="252">
        <v>118218</v>
      </c>
      <c r="E8" s="320">
        <f t="shared" si="0"/>
        <v>0.13431118780557952</v>
      </c>
      <c r="F8" s="321">
        <v>110275</v>
      </c>
      <c r="G8" s="321">
        <v>815270</v>
      </c>
      <c r="H8" s="320">
        <f t="shared" ref="H8:H13" si="1">+F8/G8</f>
        <v>0.1352619377629497</v>
      </c>
    </row>
    <row r="9" spans="2:9" thickTop="1" thickBot="1">
      <c r="B9" s="272" t="s">
        <v>118</v>
      </c>
      <c r="C9" s="413">
        <v>14710</v>
      </c>
      <c r="D9" s="252">
        <v>92270</v>
      </c>
      <c r="E9" s="320">
        <f t="shared" si="0"/>
        <v>0.15942343123442071</v>
      </c>
      <c r="F9" s="321">
        <v>116606</v>
      </c>
      <c r="G9" s="321">
        <v>804126</v>
      </c>
      <c r="H9" s="320">
        <f t="shared" si="1"/>
        <v>0.14500961292135808</v>
      </c>
    </row>
    <row r="10" spans="2:9" thickTop="1" thickBot="1">
      <c r="B10" s="272" t="s">
        <v>177</v>
      </c>
      <c r="C10" s="413">
        <v>14068</v>
      </c>
      <c r="D10" s="252">
        <v>123448</v>
      </c>
      <c r="E10" s="320">
        <f t="shared" si="0"/>
        <v>0.11395891387466787</v>
      </c>
      <c r="F10" s="322">
        <v>77213</v>
      </c>
      <c r="G10" s="323">
        <v>647507</v>
      </c>
      <c r="H10" s="320">
        <f t="shared" si="1"/>
        <v>0.11924658729558137</v>
      </c>
    </row>
    <row r="11" spans="2:9" thickTop="1" thickBot="1">
      <c r="B11" s="272" t="s">
        <v>275</v>
      </c>
      <c r="C11" s="413">
        <v>22325</v>
      </c>
      <c r="D11" s="303">
        <v>137466</v>
      </c>
      <c r="E11" s="320">
        <f t="shared" si="0"/>
        <v>0.16240379439279531</v>
      </c>
      <c r="F11" s="324">
        <v>72534</v>
      </c>
      <c r="G11" s="321">
        <v>702329</v>
      </c>
      <c r="H11" s="320">
        <f t="shared" si="1"/>
        <v>0.10327638471428632</v>
      </c>
    </row>
    <row r="12" spans="2:9" ht="16.5" thickTop="1" thickBot="1">
      <c r="B12" s="272" t="s">
        <v>120</v>
      </c>
      <c r="C12" s="413">
        <v>20935</v>
      </c>
      <c r="D12" s="252">
        <v>119167</v>
      </c>
      <c r="E12" s="320">
        <f t="shared" si="0"/>
        <v>0.17567783027180345</v>
      </c>
      <c r="F12" s="321">
        <v>78684</v>
      </c>
      <c r="G12" s="321">
        <v>691068</v>
      </c>
      <c r="H12" s="320">
        <f>+F12/G12</f>
        <v>0.11385854937574884</v>
      </c>
      <c r="I12" s="125"/>
    </row>
    <row r="13" spans="2:9" thickTop="1" thickBot="1">
      <c r="B13" s="272" t="s">
        <v>103</v>
      </c>
      <c r="C13" s="413">
        <f>SUM(C7:C12)</f>
        <v>284626</v>
      </c>
      <c r="D13" s="252">
        <v>1540029</v>
      </c>
      <c r="E13" s="320">
        <f t="shared" si="0"/>
        <v>0.18481859757186392</v>
      </c>
      <c r="F13" s="321">
        <v>151605</v>
      </c>
      <c r="G13" s="321">
        <v>1018142</v>
      </c>
      <c r="H13" s="320">
        <f t="shared" si="1"/>
        <v>0.14890359105115003</v>
      </c>
    </row>
    <row r="14" spans="2:9" ht="15.75" thickTop="1">
      <c r="B14" s="48"/>
      <c r="C14" s="38"/>
      <c r="D14" s="38"/>
      <c r="E14" s="38"/>
      <c r="F14" s="30"/>
      <c r="G14" s="30"/>
      <c r="H14" s="30"/>
    </row>
    <row r="15" spans="2:9" ht="13.5" thickBot="1">
      <c r="B15" s="560" t="s">
        <v>513</v>
      </c>
      <c r="C15" s="561"/>
      <c r="D15" s="561"/>
      <c r="E15" s="561"/>
      <c r="F15" s="561"/>
      <c r="G15" s="561"/>
      <c r="H15" s="561"/>
    </row>
    <row r="16" spans="2:9" thickTop="1" thickBot="1">
      <c r="B16" s="558"/>
      <c r="C16" s="559"/>
      <c r="D16" s="559"/>
      <c r="E16" s="559"/>
      <c r="F16" s="559"/>
      <c r="G16" s="559"/>
      <c r="H16" s="559"/>
    </row>
    <row r="17" spans="2:8" ht="13.5" thickTop="1">
      <c r="B17" s="3"/>
      <c r="C17" s="183"/>
      <c r="D17" s="3"/>
      <c r="E17" s="3"/>
    </row>
    <row r="18" spans="2:8" ht="15">
      <c r="B18" s="10"/>
      <c r="C18" s="10"/>
      <c r="D18" s="10"/>
      <c r="E18" s="10"/>
    </row>
    <row r="19" spans="2:8" ht="15">
      <c r="B19" s="10"/>
      <c r="C19" s="10"/>
      <c r="D19" s="10"/>
      <c r="E19" s="10"/>
    </row>
    <row r="20" spans="2:8" ht="15">
      <c r="B20" s="10"/>
      <c r="C20" s="10"/>
      <c r="D20" s="10"/>
      <c r="E20" s="10"/>
      <c r="F20" s="96"/>
      <c r="H20" s="96"/>
    </row>
    <row r="21" spans="2:8" ht="15">
      <c r="B21" s="10"/>
      <c r="C21" s="10"/>
      <c r="D21" s="10"/>
      <c r="E21" s="10"/>
      <c r="F21" s="96"/>
      <c r="G21" s="96"/>
      <c r="H21" s="96"/>
    </row>
    <row r="22" spans="2:8" ht="15">
      <c r="B22" s="10"/>
      <c r="C22" s="10"/>
      <c r="D22" s="10"/>
      <c r="E22" s="10"/>
      <c r="H22" s="96"/>
    </row>
    <row r="23" spans="2:8" ht="15">
      <c r="B23" s="10"/>
      <c r="C23" s="10"/>
      <c r="D23" s="10"/>
      <c r="E23" s="10"/>
    </row>
    <row r="24" spans="2:8" ht="15">
      <c r="B24" s="10"/>
      <c r="C24" s="10"/>
      <c r="D24" s="10"/>
      <c r="E24" s="10"/>
    </row>
    <row r="25" spans="2:8" ht="15">
      <c r="B25" s="10"/>
      <c r="C25" s="10"/>
      <c r="D25" s="10"/>
      <c r="E25" s="10"/>
    </row>
    <row r="26" spans="2:8" ht="15">
      <c r="B26" s="10"/>
      <c r="C26" s="10"/>
      <c r="D26" s="10"/>
      <c r="E26" s="10"/>
    </row>
    <row r="27" spans="2:8" ht="15">
      <c r="B27" s="10"/>
      <c r="C27" s="10"/>
      <c r="D27" s="10"/>
      <c r="E27" s="10"/>
    </row>
    <row r="28" spans="2:8" ht="15">
      <c r="B28" s="10"/>
      <c r="C28" s="10"/>
      <c r="D28" s="10"/>
      <c r="E28" s="10"/>
    </row>
    <row r="29" spans="2:8" ht="15">
      <c r="B29" s="10"/>
      <c r="C29" s="10"/>
      <c r="D29" s="10"/>
      <c r="E29" s="10"/>
    </row>
    <row r="30" spans="2:8" ht="15">
      <c r="B30" s="10"/>
      <c r="C30" s="10"/>
      <c r="D30" s="10"/>
      <c r="E30" s="10"/>
    </row>
    <row r="31" spans="2:8" ht="15">
      <c r="B31" s="10"/>
      <c r="C31" s="10"/>
      <c r="D31" s="10"/>
      <c r="E31" s="10"/>
    </row>
    <row r="32" spans="2:8" ht="15">
      <c r="B32" s="10"/>
      <c r="C32" s="10"/>
      <c r="D32" s="10"/>
      <c r="E32" s="10"/>
    </row>
    <row r="33" spans="2:5" ht="15">
      <c r="B33" s="10"/>
      <c r="C33" s="10"/>
      <c r="D33" s="10"/>
      <c r="E33" s="10"/>
    </row>
    <row r="34" spans="2:5" ht="15">
      <c r="B34" s="10"/>
      <c r="C34" s="10"/>
      <c r="D34" s="10"/>
      <c r="E34" s="10"/>
    </row>
    <row r="35" spans="2:5" ht="15">
      <c r="B35" s="10"/>
      <c r="C35" s="10"/>
      <c r="D35" s="10"/>
      <c r="E35" s="10"/>
    </row>
    <row r="36" spans="2:5" ht="15">
      <c r="B36" s="10"/>
      <c r="C36" s="10"/>
      <c r="D36" s="10"/>
      <c r="E36" s="10"/>
    </row>
    <row r="37" spans="2:5" ht="15">
      <c r="B37" s="10"/>
      <c r="C37" s="10"/>
      <c r="D37" s="10"/>
      <c r="E37" s="10"/>
    </row>
    <row r="38" spans="2:5" ht="15">
      <c r="B38" s="10"/>
      <c r="C38" s="10"/>
      <c r="D38" s="10"/>
      <c r="E38" s="10"/>
    </row>
    <row r="39" spans="2:5" ht="15">
      <c r="B39" s="10"/>
      <c r="C39" s="10"/>
      <c r="D39" s="10"/>
      <c r="E39" s="10"/>
    </row>
  </sheetData>
  <mergeCells count="6">
    <mergeCell ref="C4:H5"/>
    <mergeCell ref="B2:H2"/>
    <mergeCell ref="B3:H3"/>
    <mergeCell ref="B4:B6"/>
    <mergeCell ref="B16:H16"/>
    <mergeCell ref="B15:H15"/>
  </mergeCells>
  <hyperlinks>
    <hyperlink ref="B3:H3" location="'Capitulo 3'!B36" display="Viviendas alquiladas con monto de alquiler conocido, monto promedio de alquiler e ingreso neto promedio del hogar, según región. 2018. " xr:uid="{00000000-0004-0000-1F00-000000000000}"/>
  </hyperlinks>
  <pageMargins left="0.75" right="0.75" top="1" bottom="1" header="0" footer="0"/>
  <pageSetup orientation="landscape" horizontalDpi="180" verticalDpi="180" r:id="rId1"/>
  <headerFooter alignWithMargins="0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P30"/>
  <sheetViews>
    <sheetView showGridLines="0" zoomScaleNormal="100" workbookViewId="0">
      <pane ySplit="5" topLeftCell="A9" activePane="bottomLeft" state="frozen"/>
      <selection pane="bottomLeft" activeCell="M9" sqref="M9"/>
    </sheetView>
  </sheetViews>
  <sheetFormatPr baseColWidth="10" defaultRowHeight="15.95" customHeight="1"/>
  <cols>
    <col min="1" max="1" width="11.42578125" style="1" customWidth="1"/>
    <col min="2" max="2" width="50.85546875" style="3" customWidth="1"/>
    <col min="3" max="3" width="14.85546875" style="3" customWidth="1"/>
    <col min="4" max="4" width="15.85546875" style="3" customWidth="1"/>
    <col min="5" max="5" width="15.7109375" style="3" customWidth="1"/>
    <col min="6" max="6" width="17.140625" style="3" bestFit="1" customWidth="1"/>
    <col min="7" max="7" width="16" style="3" customWidth="1"/>
    <col min="8" max="8" width="16.42578125" style="3" customWidth="1"/>
    <col min="9" max="9" width="16.140625" style="3" customWidth="1"/>
    <col min="10" max="15" width="11.42578125" style="1" customWidth="1"/>
    <col min="16" max="16384" width="11.42578125" style="1"/>
  </cols>
  <sheetData>
    <row r="2" spans="2:9" ht="15.95" customHeight="1">
      <c r="B2" s="462" t="s">
        <v>457</v>
      </c>
      <c r="C2" s="462"/>
      <c r="D2" s="462"/>
      <c r="E2" s="462"/>
      <c r="F2" s="462"/>
      <c r="G2" s="462"/>
      <c r="H2" s="462"/>
      <c r="I2" s="462"/>
    </row>
    <row r="3" spans="2:9" ht="22.5" customHeight="1" thickBot="1">
      <c r="B3" s="482" t="s">
        <v>521</v>
      </c>
      <c r="C3" s="482"/>
      <c r="D3" s="482"/>
      <c r="E3" s="482"/>
      <c r="F3" s="482"/>
      <c r="G3" s="482"/>
      <c r="H3" s="482"/>
      <c r="I3" s="482"/>
    </row>
    <row r="4" spans="2:9" ht="15.95" customHeight="1" thickTop="1" thickBot="1">
      <c r="B4" s="494" t="s">
        <v>309</v>
      </c>
      <c r="C4" s="459" t="s">
        <v>272</v>
      </c>
      <c r="D4" s="460"/>
      <c r="E4" s="460"/>
      <c r="F4" s="460"/>
      <c r="G4" s="460"/>
      <c r="H4" s="460"/>
      <c r="I4" s="460"/>
    </row>
    <row r="5" spans="2:9" ht="15.95" customHeight="1" thickTop="1" thickBot="1">
      <c r="B5" s="503"/>
      <c r="C5" s="315" t="s">
        <v>103</v>
      </c>
      <c r="D5" s="315" t="s">
        <v>116</v>
      </c>
      <c r="E5" s="315" t="s">
        <v>117</v>
      </c>
      <c r="F5" s="315" t="s">
        <v>118</v>
      </c>
      <c r="G5" s="315" t="s">
        <v>119</v>
      </c>
      <c r="H5" s="315" t="s">
        <v>275</v>
      </c>
      <c r="I5" s="315" t="s">
        <v>120</v>
      </c>
    </row>
    <row r="6" spans="2:9" ht="15.95" customHeight="1" thickTop="1" thickBot="1">
      <c r="B6" s="272" t="s">
        <v>309</v>
      </c>
      <c r="C6" s="414">
        <f>+C8+C12</f>
        <v>180241</v>
      </c>
      <c r="D6" s="414">
        <f t="shared" ref="D6:I6" si="0">+D8+D12</f>
        <v>82806</v>
      </c>
      <c r="E6" s="414">
        <f t="shared" si="0"/>
        <v>14624</v>
      </c>
      <c r="F6" s="414">
        <f t="shared" si="0"/>
        <v>17171</v>
      </c>
      <c r="G6" s="414">
        <f t="shared" si="0"/>
        <v>17438</v>
      </c>
      <c r="H6" s="414">
        <f t="shared" si="0"/>
        <v>28117</v>
      </c>
      <c r="I6" s="414">
        <f t="shared" si="0"/>
        <v>20085</v>
      </c>
    </row>
    <row r="7" spans="2:9" ht="15.95" customHeight="1" thickTop="1" thickBot="1">
      <c r="B7" s="272"/>
      <c r="C7" s="414"/>
      <c r="D7" s="414"/>
      <c r="E7" s="414"/>
      <c r="F7" s="414"/>
      <c r="G7" s="414"/>
      <c r="H7" s="414"/>
      <c r="I7" s="414"/>
    </row>
    <row r="8" spans="2:9" ht="15.95" customHeight="1" thickTop="1" thickBot="1">
      <c r="B8" s="272" t="s">
        <v>310</v>
      </c>
      <c r="C8" s="414">
        <f>+C10-C9</f>
        <v>21608</v>
      </c>
      <c r="D8" s="414">
        <f t="shared" ref="D8:I8" si="1">+D10-D9</f>
        <v>16528</v>
      </c>
      <c r="E8" s="414">
        <f t="shared" si="1"/>
        <v>1328</v>
      </c>
      <c r="F8" s="414">
        <f t="shared" si="1"/>
        <v>770</v>
      </c>
      <c r="G8" s="414">
        <f t="shared" si="1"/>
        <v>575</v>
      </c>
      <c r="H8" s="414">
        <f t="shared" si="1"/>
        <v>1129</v>
      </c>
      <c r="I8" s="414">
        <f t="shared" si="1"/>
        <v>1278</v>
      </c>
    </row>
    <row r="9" spans="2:9" ht="15.95" customHeight="1" thickTop="1" thickBot="1">
      <c r="B9" s="272" t="s">
        <v>276</v>
      </c>
      <c r="C9" s="414">
        <v>1540029</v>
      </c>
      <c r="D9" s="414">
        <v>949460</v>
      </c>
      <c r="E9" s="414">
        <v>118218</v>
      </c>
      <c r="F9" s="414">
        <v>92270</v>
      </c>
      <c r="G9" s="414">
        <v>123448</v>
      </c>
      <c r="H9" s="414">
        <v>137466</v>
      </c>
      <c r="I9" s="414">
        <v>119167</v>
      </c>
    </row>
    <row r="10" spans="2:9" ht="15.95" customHeight="1" thickTop="1" thickBot="1">
      <c r="B10" s="272" t="s">
        <v>277</v>
      </c>
      <c r="C10" s="414">
        <v>1561637</v>
      </c>
      <c r="D10" s="414">
        <v>965988</v>
      </c>
      <c r="E10" s="414">
        <v>119546</v>
      </c>
      <c r="F10" s="414">
        <v>93040</v>
      </c>
      <c r="G10" s="414">
        <v>124023</v>
      </c>
      <c r="H10" s="414">
        <v>138595</v>
      </c>
      <c r="I10" s="414">
        <v>120445</v>
      </c>
    </row>
    <row r="11" spans="2:9" ht="15.95" customHeight="1" thickTop="1" thickBot="1">
      <c r="B11" s="272"/>
      <c r="C11" s="414"/>
      <c r="D11" s="414"/>
      <c r="E11" s="414"/>
      <c r="F11" s="414"/>
      <c r="G11" s="414"/>
      <c r="H11" s="414"/>
      <c r="I11" s="414"/>
    </row>
    <row r="12" spans="2:9" ht="15.95" customHeight="1" thickTop="1" thickBot="1">
      <c r="B12" s="272" t="s">
        <v>311</v>
      </c>
      <c r="C12" s="414">
        <f>+C13+C14+C15</f>
        <v>158633</v>
      </c>
      <c r="D12" s="414">
        <f t="shared" ref="D12:I12" si="2">+D13+D14+D15</f>
        <v>66278</v>
      </c>
      <c r="E12" s="414">
        <f t="shared" si="2"/>
        <v>13296</v>
      </c>
      <c r="F12" s="414">
        <f t="shared" si="2"/>
        <v>16401</v>
      </c>
      <c r="G12" s="414">
        <f t="shared" si="2"/>
        <v>16863</v>
      </c>
      <c r="H12" s="414">
        <f t="shared" si="2"/>
        <v>26988</v>
      </c>
      <c r="I12" s="414">
        <f t="shared" si="2"/>
        <v>18807</v>
      </c>
    </row>
    <row r="13" spans="2:9" ht="15.95" customHeight="1" thickTop="1" thickBot="1">
      <c r="B13" s="272" t="s">
        <v>179</v>
      </c>
      <c r="C13" s="414">
        <v>132896</v>
      </c>
      <c r="D13" s="414">
        <v>54868</v>
      </c>
      <c r="E13" s="414">
        <v>10347</v>
      </c>
      <c r="F13" s="414">
        <v>12960</v>
      </c>
      <c r="G13" s="414">
        <v>15573</v>
      </c>
      <c r="H13" s="414">
        <v>24377</v>
      </c>
      <c r="I13" s="414">
        <v>14771</v>
      </c>
    </row>
    <row r="14" spans="2:9" ht="15.95" customHeight="1" thickTop="1" thickBot="1">
      <c r="B14" s="272" t="s">
        <v>180</v>
      </c>
      <c r="C14" s="414">
        <v>17322</v>
      </c>
      <c r="D14" s="414">
        <v>7886</v>
      </c>
      <c r="E14" s="414">
        <v>2319</v>
      </c>
      <c r="F14" s="414">
        <v>2195</v>
      </c>
      <c r="G14" s="414">
        <v>695</v>
      </c>
      <c r="H14" s="414">
        <v>2010</v>
      </c>
      <c r="I14" s="414">
        <v>2217</v>
      </c>
    </row>
    <row r="15" spans="2:9" ht="15.95" customHeight="1" thickTop="1" thickBot="1">
      <c r="B15" s="272" t="s">
        <v>181</v>
      </c>
      <c r="C15" s="414">
        <v>8415</v>
      </c>
      <c r="D15" s="414">
        <v>3524</v>
      </c>
      <c r="E15" s="414">
        <v>630</v>
      </c>
      <c r="F15" s="414">
        <v>1246</v>
      </c>
      <c r="G15" s="414">
        <v>595</v>
      </c>
      <c r="H15" s="414">
        <v>601</v>
      </c>
      <c r="I15" s="414">
        <v>1819</v>
      </c>
    </row>
    <row r="16" spans="2:9" ht="15.95" customHeight="1" thickTop="1" thickBot="1">
      <c r="B16" s="325"/>
      <c r="C16" s="326"/>
      <c r="D16" s="326"/>
      <c r="E16" s="326"/>
      <c r="F16" s="326"/>
      <c r="G16" s="326"/>
      <c r="H16" s="326"/>
      <c r="I16" s="326"/>
    </row>
    <row r="17" spans="2:16" ht="15.95" customHeight="1" thickTop="1" thickBot="1">
      <c r="B17" s="466" t="s">
        <v>513</v>
      </c>
      <c r="C17" s="467"/>
      <c r="D17" s="467"/>
      <c r="E17" s="467"/>
      <c r="F17" s="467"/>
      <c r="G17" s="467"/>
      <c r="H17" s="467"/>
      <c r="I17" s="467"/>
    </row>
    <row r="18" spans="2:16" ht="15.95" customHeight="1" thickTop="1">
      <c r="B18" s="562"/>
      <c r="C18" s="562"/>
      <c r="D18" s="562"/>
      <c r="E18" s="562"/>
      <c r="F18" s="562"/>
      <c r="G18" s="562"/>
      <c r="H18" s="562"/>
      <c r="I18" s="562"/>
    </row>
    <row r="19" spans="2:16" ht="15.95" customHeight="1">
      <c r="C19" s="17"/>
      <c r="D19" s="183"/>
    </row>
    <row r="20" spans="2:16" s="3" customFormat="1" ht="15.95" customHeight="1">
      <c r="C20" s="183"/>
      <c r="D20" s="183"/>
      <c r="J20" s="1"/>
      <c r="K20" s="1"/>
      <c r="L20" s="1"/>
      <c r="M20" s="1"/>
      <c r="N20" s="1"/>
      <c r="O20" s="1"/>
      <c r="P20" s="1"/>
    </row>
    <row r="21" spans="2:16" s="3" customFormat="1" ht="15.95" customHeight="1">
      <c r="C21" s="183"/>
      <c r="D21" s="183"/>
      <c r="J21" s="1"/>
      <c r="K21" s="1"/>
      <c r="L21" s="1"/>
      <c r="M21" s="1"/>
      <c r="N21" s="1"/>
      <c r="O21" s="1"/>
      <c r="P21" s="1"/>
    </row>
    <row r="22" spans="2:16" s="3" customFormat="1" ht="15.95" customHeight="1">
      <c r="C22" s="183"/>
      <c r="D22" s="183"/>
      <c r="J22" s="1"/>
      <c r="K22" s="1"/>
      <c r="L22" s="1"/>
      <c r="M22" s="1"/>
      <c r="N22" s="1"/>
      <c r="O22" s="1"/>
      <c r="P22" s="1"/>
    </row>
    <row r="23" spans="2:16" s="3" customFormat="1" ht="15.95" customHeight="1">
      <c r="C23" s="183"/>
      <c r="D23" s="183"/>
      <c r="J23" s="1"/>
      <c r="K23" s="1"/>
      <c r="L23" s="1"/>
      <c r="M23" s="1"/>
      <c r="N23" s="1"/>
      <c r="O23" s="1"/>
      <c r="P23" s="1"/>
    </row>
    <row r="24" spans="2:16" s="3" customFormat="1" ht="15.95" customHeight="1">
      <c r="C24" s="183"/>
      <c r="D24" s="183"/>
      <c r="J24" s="1"/>
      <c r="K24" s="1"/>
      <c r="L24" s="1"/>
      <c r="M24" s="1"/>
      <c r="N24" s="1"/>
      <c r="O24" s="1"/>
      <c r="P24" s="1"/>
    </row>
    <row r="25" spans="2:16" ht="15.95" customHeight="1">
      <c r="C25" s="183"/>
      <c r="D25" s="183"/>
    </row>
    <row r="26" spans="2:16" ht="15.95" customHeight="1">
      <c r="C26" s="183"/>
      <c r="D26" s="183"/>
    </row>
    <row r="27" spans="2:16" ht="15.95" customHeight="1">
      <c r="C27" s="183"/>
    </row>
    <row r="28" spans="2:16" ht="15.95" customHeight="1">
      <c r="C28" s="183"/>
    </row>
    <row r="29" spans="2:16" ht="15.95" customHeight="1">
      <c r="C29" s="183"/>
    </row>
    <row r="30" spans="2:16" ht="15.95" customHeight="1">
      <c r="C30" s="183"/>
    </row>
  </sheetData>
  <mergeCells count="6">
    <mergeCell ref="B17:I17"/>
    <mergeCell ref="C4:I4"/>
    <mergeCell ref="B18:I18"/>
    <mergeCell ref="B2:I2"/>
    <mergeCell ref="B3:I3"/>
    <mergeCell ref="B4:B5"/>
  </mergeCells>
  <hyperlinks>
    <hyperlink ref="B3:H3" location="'Capitulo 3'!B37" display="Faltante de vivienda, cuantitativo y cualitativo, por región. 2018." xr:uid="{00000000-0004-0000-2000-000000000000}"/>
  </hyperlinks>
  <printOptions horizontalCentered="1" verticalCentered="1"/>
  <pageMargins left="0.74803149606299213" right="0.74803149606299213" top="0.98425196850393704" bottom="0.98425196850393704" header="0" footer="0"/>
  <pageSetup paperSize="5" scale="65" orientation="landscape" verticalDpi="180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M21"/>
  <sheetViews>
    <sheetView showGridLines="0" zoomScale="85" zoomScaleNormal="85" workbookViewId="0">
      <pane ySplit="6" topLeftCell="A7" activePane="bottomLeft" state="frozen"/>
      <selection pane="bottomLeft" activeCell="B3" sqref="B3:M3"/>
    </sheetView>
  </sheetViews>
  <sheetFormatPr baseColWidth="10" defaultRowHeight="12.75"/>
  <cols>
    <col min="2" max="2" width="47.5703125" bestFit="1" customWidth="1"/>
    <col min="3" max="3" width="12" bestFit="1" customWidth="1"/>
    <col min="4" max="10" width="11.5703125" bestFit="1" customWidth="1"/>
    <col min="11" max="11" width="13.140625" customWidth="1"/>
    <col min="12" max="12" width="12.7109375" customWidth="1"/>
    <col min="13" max="13" width="13.140625" customWidth="1"/>
  </cols>
  <sheetData>
    <row r="2" spans="2:13" ht="15">
      <c r="B2" s="486" t="s">
        <v>313</v>
      </c>
      <c r="C2" s="486"/>
      <c r="D2" s="486"/>
      <c r="E2" s="486"/>
      <c r="F2" s="486"/>
      <c r="G2" s="486"/>
      <c r="H2" s="486"/>
      <c r="I2" s="486"/>
      <c r="J2" s="486"/>
      <c r="K2" s="486"/>
      <c r="L2" s="486"/>
      <c r="M2" s="486"/>
    </row>
    <row r="3" spans="2:13" ht="20.25" customHeight="1" thickBot="1">
      <c r="B3" s="482" t="s">
        <v>522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</row>
    <row r="4" spans="2:13" ht="26.25" customHeight="1" thickTop="1">
      <c r="B4" s="494" t="s">
        <v>484</v>
      </c>
      <c r="C4" s="476" t="s">
        <v>4</v>
      </c>
      <c r="D4" s="530" t="s">
        <v>527</v>
      </c>
      <c r="E4" s="530" t="s">
        <v>528</v>
      </c>
      <c r="F4" s="530" t="s">
        <v>529</v>
      </c>
      <c r="G4" s="530" t="s">
        <v>530</v>
      </c>
      <c r="H4" s="530" t="s">
        <v>531</v>
      </c>
      <c r="I4" s="530" t="s">
        <v>532</v>
      </c>
      <c r="J4" s="530" t="s">
        <v>533</v>
      </c>
      <c r="K4" s="530" t="s">
        <v>534</v>
      </c>
      <c r="L4" s="530" t="s">
        <v>535</v>
      </c>
      <c r="M4" s="530" t="s">
        <v>536</v>
      </c>
    </row>
    <row r="5" spans="2:13" ht="20.25" customHeight="1" thickBot="1">
      <c r="B5" s="510"/>
      <c r="C5" s="527"/>
      <c r="D5" s="531"/>
      <c r="E5" s="531" t="s">
        <v>485</v>
      </c>
      <c r="F5" s="531"/>
      <c r="G5" s="531" t="s">
        <v>485</v>
      </c>
      <c r="H5" s="531" t="s">
        <v>485</v>
      </c>
      <c r="I5" s="531" t="s">
        <v>485</v>
      </c>
      <c r="J5" s="531" t="s">
        <v>485</v>
      </c>
      <c r="K5" s="531" t="s">
        <v>485</v>
      </c>
      <c r="L5" s="531" t="s">
        <v>485</v>
      </c>
      <c r="M5" s="531"/>
    </row>
    <row r="6" spans="2:13" ht="14.25" thickTop="1" thickBot="1">
      <c r="B6" s="503"/>
      <c r="C6" s="477"/>
      <c r="D6" s="315" t="s">
        <v>486</v>
      </c>
      <c r="E6" s="315" t="s">
        <v>487</v>
      </c>
      <c r="F6" s="315" t="s">
        <v>488</v>
      </c>
      <c r="G6" s="315" t="s">
        <v>489</v>
      </c>
      <c r="H6" s="315" t="s">
        <v>490</v>
      </c>
      <c r="I6" s="315" t="s">
        <v>491</v>
      </c>
      <c r="J6" s="315" t="s">
        <v>492</v>
      </c>
      <c r="K6" s="315" t="s">
        <v>493</v>
      </c>
      <c r="L6" s="315" t="s">
        <v>494</v>
      </c>
      <c r="M6" s="315" t="s">
        <v>495</v>
      </c>
    </row>
    <row r="7" spans="2:13" ht="14.25" thickTop="1" thickBot="1">
      <c r="B7" s="272" t="s">
        <v>496</v>
      </c>
      <c r="C7" s="418">
        <f>+C9+C13</f>
        <v>180241</v>
      </c>
      <c r="D7" s="418">
        <f t="shared" ref="D7:M7" si="0">+D9+D13</f>
        <v>39470</v>
      </c>
      <c r="E7" s="418">
        <f t="shared" si="0"/>
        <v>27951</v>
      </c>
      <c r="F7" s="418">
        <f t="shared" si="0"/>
        <v>26222</v>
      </c>
      <c r="G7" s="418">
        <f t="shared" si="0"/>
        <v>25199</v>
      </c>
      <c r="H7" s="418">
        <f t="shared" si="0"/>
        <v>17962</v>
      </c>
      <c r="I7" s="418">
        <f t="shared" si="0"/>
        <v>14177</v>
      </c>
      <c r="J7" s="418">
        <f t="shared" si="0"/>
        <v>14988</v>
      </c>
      <c r="K7" s="418">
        <f t="shared" si="0"/>
        <v>9556</v>
      </c>
      <c r="L7" s="418">
        <f t="shared" si="0"/>
        <v>3076</v>
      </c>
      <c r="M7" s="418">
        <f t="shared" si="0"/>
        <v>1640</v>
      </c>
    </row>
    <row r="8" spans="2:13" ht="14.25" thickTop="1" thickBot="1">
      <c r="B8" s="272"/>
      <c r="C8" s="418"/>
      <c r="D8" s="418"/>
      <c r="E8" s="418"/>
      <c r="F8" s="418"/>
      <c r="G8" s="418"/>
      <c r="H8" s="418"/>
      <c r="I8" s="418"/>
      <c r="J8" s="418"/>
      <c r="K8" s="418"/>
      <c r="L8" s="418"/>
      <c r="M8" s="418"/>
    </row>
    <row r="9" spans="2:13" ht="14.25" thickTop="1" thickBot="1">
      <c r="B9" s="272" t="s">
        <v>497</v>
      </c>
      <c r="C9" s="418">
        <f>+C11-C10</f>
        <v>21608</v>
      </c>
      <c r="D9" s="418">
        <f t="shared" ref="D9:M9" si="1">+D11-D10</f>
        <v>2965</v>
      </c>
      <c r="E9" s="418">
        <f t="shared" si="1"/>
        <v>2623</v>
      </c>
      <c r="F9" s="418">
        <f t="shared" si="1"/>
        <v>2774</v>
      </c>
      <c r="G9" s="418">
        <f t="shared" si="1"/>
        <v>5024</v>
      </c>
      <c r="H9" s="418">
        <f t="shared" si="1"/>
        <v>2615</v>
      </c>
      <c r="I9" s="418">
        <f t="shared" si="1"/>
        <v>1840</v>
      </c>
      <c r="J9" s="418">
        <f t="shared" si="1"/>
        <v>1500</v>
      </c>
      <c r="K9" s="418">
        <f t="shared" si="1"/>
        <v>1509</v>
      </c>
      <c r="L9" s="418">
        <f t="shared" si="1"/>
        <v>592</v>
      </c>
      <c r="M9" s="418">
        <f t="shared" si="1"/>
        <v>166</v>
      </c>
    </row>
    <row r="10" spans="2:13" ht="14.25" thickTop="1" thickBot="1">
      <c r="B10" s="272" t="s">
        <v>276</v>
      </c>
      <c r="C10" s="418">
        <v>1540029</v>
      </c>
      <c r="D10" s="418">
        <v>153316</v>
      </c>
      <c r="E10" s="418">
        <v>153427</v>
      </c>
      <c r="F10" s="418">
        <v>155481</v>
      </c>
      <c r="G10" s="418">
        <v>149161</v>
      </c>
      <c r="H10" s="418">
        <v>153486</v>
      </c>
      <c r="I10" s="418">
        <v>154294</v>
      </c>
      <c r="J10" s="418">
        <v>154643</v>
      </c>
      <c r="K10" s="418">
        <v>154770</v>
      </c>
      <c r="L10" s="418">
        <v>155490</v>
      </c>
      <c r="M10" s="418">
        <v>155961</v>
      </c>
    </row>
    <row r="11" spans="2:13" ht="14.25" thickTop="1" thickBot="1">
      <c r="B11" s="272" t="s">
        <v>277</v>
      </c>
      <c r="C11" s="418">
        <v>1561637</v>
      </c>
      <c r="D11" s="418">
        <v>156281</v>
      </c>
      <c r="E11" s="418">
        <v>156050</v>
      </c>
      <c r="F11" s="418">
        <v>158255</v>
      </c>
      <c r="G11" s="418">
        <v>154185</v>
      </c>
      <c r="H11" s="418">
        <v>156101</v>
      </c>
      <c r="I11" s="418">
        <v>156134</v>
      </c>
      <c r="J11" s="418">
        <v>156143</v>
      </c>
      <c r="K11" s="418">
        <v>156279</v>
      </c>
      <c r="L11" s="418">
        <v>156082</v>
      </c>
      <c r="M11" s="418">
        <v>156127</v>
      </c>
    </row>
    <row r="12" spans="2:13" ht="14.25" thickTop="1" thickBot="1">
      <c r="B12" s="272"/>
      <c r="C12" s="418"/>
      <c r="D12" s="418"/>
      <c r="E12" s="418"/>
      <c r="F12" s="418"/>
      <c r="G12" s="418"/>
      <c r="H12" s="418"/>
      <c r="I12" s="418"/>
      <c r="J12" s="418"/>
      <c r="K12" s="418"/>
      <c r="L12" s="418"/>
      <c r="M12" s="418"/>
    </row>
    <row r="13" spans="2:13" ht="14.25" thickTop="1" thickBot="1">
      <c r="B13" s="272" t="s">
        <v>498</v>
      </c>
      <c r="C13" s="418">
        <f>+C14+C15+C16</f>
        <v>158633</v>
      </c>
      <c r="D13" s="418">
        <f t="shared" ref="D13:M13" si="2">+D14+D15+D16</f>
        <v>36505</v>
      </c>
      <c r="E13" s="418">
        <f t="shared" si="2"/>
        <v>25328</v>
      </c>
      <c r="F13" s="418">
        <f t="shared" si="2"/>
        <v>23448</v>
      </c>
      <c r="G13" s="418">
        <f t="shared" si="2"/>
        <v>20175</v>
      </c>
      <c r="H13" s="418">
        <f t="shared" si="2"/>
        <v>15347</v>
      </c>
      <c r="I13" s="418">
        <f t="shared" si="2"/>
        <v>12337</v>
      </c>
      <c r="J13" s="418">
        <f t="shared" si="2"/>
        <v>13488</v>
      </c>
      <c r="K13" s="418">
        <f t="shared" si="2"/>
        <v>8047</v>
      </c>
      <c r="L13" s="418">
        <f t="shared" si="2"/>
        <v>2484</v>
      </c>
      <c r="M13" s="418">
        <f t="shared" si="2"/>
        <v>1474</v>
      </c>
    </row>
    <row r="14" spans="2:13" ht="14.25" thickTop="1" thickBot="1">
      <c r="B14" s="272" t="s">
        <v>179</v>
      </c>
      <c r="C14" s="418">
        <v>132896</v>
      </c>
      <c r="D14" s="418">
        <v>33976</v>
      </c>
      <c r="E14" s="418">
        <v>22393</v>
      </c>
      <c r="F14" s="418">
        <v>19579</v>
      </c>
      <c r="G14" s="418">
        <v>16835</v>
      </c>
      <c r="H14" s="418">
        <v>11671</v>
      </c>
      <c r="I14" s="418">
        <v>9765</v>
      </c>
      <c r="J14" s="418">
        <v>10812</v>
      </c>
      <c r="K14" s="418">
        <v>4974</v>
      </c>
      <c r="L14" s="418">
        <v>1785</v>
      </c>
      <c r="M14" s="418">
        <v>1106</v>
      </c>
    </row>
    <row r="15" spans="2:13" ht="16.5" thickTop="1" thickBot="1">
      <c r="B15" s="272" t="s">
        <v>1086</v>
      </c>
      <c r="C15" s="418">
        <v>17322</v>
      </c>
      <c r="D15" s="418">
        <v>1890</v>
      </c>
      <c r="E15" s="418">
        <v>2366</v>
      </c>
      <c r="F15" s="418">
        <v>3493</v>
      </c>
      <c r="G15" s="418">
        <v>2674</v>
      </c>
      <c r="H15" s="418">
        <v>1799</v>
      </c>
      <c r="I15" s="418">
        <v>1712</v>
      </c>
      <c r="J15" s="418">
        <v>1358</v>
      </c>
      <c r="K15" s="418">
        <v>1422</v>
      </c>
      <c r="L15" s="418">
        <v>445</v>
      </c>
      <c r="M15" s="418">
        <v>163</v>
      </c>
    </row>
    <row r="16" spans="2:13" ht="16.5" thickTop="1" thickBot="1">
      <c r="B16" s="272" t="s">
        <v>1087</v>
      </c>
      <c r="C16" s="418">
        <v>8415</v>
      </c>
      <c r="D16" s="418">
        <v>639</v>
      </c>
      <c r="E16" s="418">
        <v>569</v>
      </c>
      <c r="F16" s="418">
        <v>376</v>
      </c>
      <c r="G16" s="418">
        <v>666</v>
      </c>
      <c r="H16" s="418">
        <v>1877</v>
      </c>
      <c r="I16" s="418">
        <v>860</v>
      </c>
      <c r="J16" s="418">
        <v>1318</v>
      </c>
      <c r="K16" s="418">
        <v>1651</v>
      </c>
      <c r="L16" s="418">
        <v>254</v>
      </c>
      <c r="M16" s="418">
        <v>205</v>
      </c>
    </row>
    <row r="17" spans="2:13" ht="15.75" thickTop="1" thickBot="1">
      <c r="B17" s="325"/>
      <c r="C17" s="326"/>
      <c r="D17" s="326"/>
      <c r="E17" s="326"/>
      <c r="F17" s="326"/>
      <c r="G17" s="326"/>
      <c r="H17" s="326"/>
      <c r="I17" s="326"/>
      <c r="J17" s="326"/>
      <c r="K17" s="326"/>
      <c r="L17" s="326"/>
      <c r="M17" s="326"/>
    </row>
    <row r="18" spans="2:13" ht="14.25" thickTop="1" thickBot="1">
      <c r="B18" s="466" t="s">
        <v>513</v>
      </c>
      <c r="C18" s="467"/>
      <c r="D18" s="467"/>
      <c r="E18" s="467"/>
      <c r="F18" s="467"/>
      <c r="G18" s="467"/>
      <c r="H18" s="467"/>
      <c r="I18" s="467"/>
      <c r="J18" s="467"/>
      <c r="K18" s="467"/>
      <c r="L18" s="467"/>
      <c r="M18" s="467"/>
    </row>
    <row r="19" spans="2:13" ht="15.75" thickTop="1" thickBot="1">
      <c r="B19" s="466" t="s">
        <v>1085</v>
      </c>
      <c r="C19" s="467"/>
      <c r="D19" s="467"/>
      <c r="E19" s="467"/>
      <c r="F19" s="467"/>
      <c r="G19" s="467"/>
      <c r="H19" s="467"/>
      <c r="I19" s="467"/>
      <c r="J19" s="467"/>
      <c r="K19" s="467"/>
      <c r="L19" s="467"/>
      <c r="M19" s="467"/>
    </row>
    <row r="20" spans="2:13" ht="14.25" thickTop="1" thickBot="1">
      <c r="B20" s="466" t="s">
        <v>499</v>
      </c>
      <c r="C20" s="467"/>
      <c r="D20" s="467"/>
      <c r="E20" s="467"/>
      <c r="F20" s="467"/>
      <c r="G20" s="467"/>
      <c r="H20" s="467"/>
      <c r="I20" s="467"/>
      <c r="J20" s="467"/>
      <c r="K20" s="467"/>
      <c r="L20" s="467"/>
      <c r="M20" s="467"/>
    </row>
    <row r="21" spans="2:13" ht="13.5" thickTop="1"/>
  </sheetData>
  <mergeCells count="17">
    <mergeCell ref="B2:M2"/>
    <mergeCell ref="B3:M3"/>
    <mergeCell ref="B4:B6"/>
    <mergeCell ref="C4:C6"/>
    <mergeCell ref="D4:D5"/>
    <mergeCell ref="E4:E5"/>
    <mergeCell ref="F4:F5"/>
    <mergeCell ref="G4:G5"/>
    <mergeCell ref="H4:H5"/>
    <mergeCell ref="I4:I5"/>
    <mergeCell ref="B19:M19"/>
    <mergeCell ref="B20:M20"/>
    <mergeCell ref="J4:J5"/>
    <mergeCell ref="K4:K5"/>
    <mergeCell ref="L4:L5"/>
    <mergeCell ref="M4:M5"/>
    <mergeCell ref="B18:M18"/>
  </mergeCells>
  <hyperlinks>
    <hyperlink ref="B3:M3" location="'Capitulo 3'!B38" display="Distribución del faltante de vivienda, cuantitativo y cualitativo, por decil de ingreso total del hogar neto. 2018." xr:uid="{00000000-0004-0000-2100-000000000000}"/>
  </hyperlinks>
  <pageMargins left="0.7" right="0.7" top="0.75" bottom="0.75" header="0.3" footer="0.3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tabColor rgb="FFB43E97"/>
  </sheetPr>
  <dimension ref="A15:I45"/>
  <sheetViews>
    <sheetView showGridLines="0" topLeftCell="A15" workbookViewId="0">
      <selection activeCell="B19" sqref="B19:I19"/>
    </sheetView>
  </sheetViews>
  <sheetFormatPr baseColWidth="10" defaultRowHeight="12.75"/>
  <cols>
    <col min="1" max="1" width="14.7109375" style="3" customWidth="1"/>
    <col min="2" max="6" width="11.42578125" style="3"/>
    <col min="7" max="7" width="25.140625" style="3" customWidth="1"/>
    <col min="8" max="16384" width="11.42578125" style="3"/>
  </cols>
  <sheetData>
    <row r="15" spans="1:9" ht="39.75" customHeight="1">
      <c r="A15" s="564" t="s">
        <v>434</v>
      </c>
      <c r="B15" s="565"/>
      <c r="C15" s="565"/>
      <c r="D15" s="565"/>
      <c r="E15" s="565"/>
      <c r="F15" s="565"/>
      <c r="G15" s="565"/>
      <c r="H15" s="565"/>
      <c r="I15" s="565"/>
    </row>
    <row r="16" spans="1:9">
      <c r="A16" s="237"/>
      <c r="B16" s="237"/>
      <c r="C16" s="237"/>
      <c r="D16" s="237"/>
      <c r="E16" s="237"/>
      <c r="F16" s="237"/>
      <c r="G16" s="237"/>
      <c r="H16" s="237"/>
      <c r="I16" s="237"/>
    </row>
    <row r="17" spans="1:9" ht="21.75" customHeight="1">
      <c r="A17" s="449" t="s">
        <v>466</v>
      </c>
      <c r="B17" s="449"/>
      <c r="C17" s="449"/>
      <c r="D17" s="449"/>
      <c r="E17" s="449"/>
      <c r="F17" s="449"/>
      <c r="G17" s="449"/>
      <c r="H17" s="449"/>
      <c r="I17" s="449"/>
    </row>
    <row r="18" spans="1:9">
      <c r="A18" s="237"/>
      <c r="B18" s="242"/>
      <c r="C18" s="242"/>
      <c r="D18" s="242"/>
      <c r="E18" s="242"/>
      <c r="F18" s="242"/>
      <c r="G18" s="242"/>
      <c r="H18" s="242"/>
      <c r="I18" s="242"/>
    </row>
    <row r="19" spans="1:9" ht="14.25" customHeight="1">
      <c r="A19" s="239" t="s">
        <v>1138</v>
      </c>
      <c r="B19" s="563" t="s">
        <v>501</v>
      </c>
      <c r="C19" s="563"/>
      <c r="D19" s="563"/>
      <c r="E19" s="563"/>
      <c r="F19" s="563"/>
      <c r="G19" s="563"/>
      <c r="H19" s="563"/>
      <c r="I19" s="563"/>
    </row>
    <row r="20" spans="1:9" ht="14.25" customHeight="1">
      <c r="A20" s="239" t="s">
        <v>1128</v>
      </c>
      <c r="B20" s="563" t="s">
        <v>590</v>
      </c>
      <c r="C20" s="563"/>
      <c r="D20" s="563"/>
      <c r="E20" s="563"/>
      <c r="F20" s="563"/>
      <c r="G20" s="563"/>
      <c r="H20" s="563"/>
      <c r="I20" s="563"/>
    </row>
    <row r="21" spans="1:9" ht="14.25" customHeight="1">
      <c r="A21" s="239" t="s">
        <v>316</v>
      </c>
      <c r="B21" s="563" t="s">
        <v>502</v>
      </c>
      <c r="C21" s="563"/>
      <c r="D21" s="563"/>
      <c r="E21" s="563"/>
      <c r="F21" s="563"/>
      <c r="G21" s="563"/>
      <c r="H21" s="563"/>
      <c r="I21" s="563"/>
    </row>
    <row r="22" spans="1:9" ht="14.25" customHeight="1">
      <c r="A22" s="239" t="s">
        <v>317</v>
      </c>
      <c r="B22" s="563" t="s">
        <v>503</v>
      </c>
      <c r="C22" s="563"/>
      <c r="D22" s="563"/>
      <c r="E22" s="563"/>
      <c r="F22" s="563"/>
      <c r="G22" s="563"/>
      <c r="H22" s="563"/>
      <c r="I22" s="563"/>
    </row>
    <row r="23" spans="1:9" ht="14.25" customHeight="1">
      <c r="A23" s="239" t="s">
        <v>318</v>
      </c>
      <c r="B23" s="563" t="s">
        <v>504</v>
      </c>
      <c r="C23" s="563"/>
      <c r="D23" s="563"/>
      <c r="E23" s="563"/>
      <c r="F23" s="563"/>
      <c r="G23" s="563"/>
      <c r="H23" s="563"/>
      <c r="I23" s="563"/>
    </row>
    <row r="24" spans="1:9" ht="14.25" customHeight="1">
      <c r="A24" s="239" t="s">
        <v>319</v>
      </c>
      <c r="B24" s="563" t="s">
        <v>505</v>
      </c>
      <c r="C24" s="563"/>
      <c r="D24" s="563"/>
      <c r="E24" s="563"/>
      <c r="F24" s="563"/>
      <c r="G24" s="563"/>
      <c r="H24" s="563"/>
      <c r="I24" s="563"/>
    </row>
    <row r="25" spans="1:9" ht="14.25" customHeight="1">
      <c r="A25" s="239" t="s">
        <v>320</v>
      </c>
      <c r="B25" s="563" t="s">
        <v>506</v>
      </c>
      <c r="C25" s="563"/>
      <c r="D25" s="563"/>
      <c r="E25" s="563"/>
      <c r="F25" s="563"/>
      <c r="G25" s="563"/>
      <c r="H25" s="563"/>
      <c r="I25" s="563"/>
    </row>
    <row r="26" spans="1:9" ht="14.25">
      <c r="A26" s="239" t="s">
        <v>324</v>
      </c>
      <c r="B26" s="563" t="s">
        <v>704</v>
      </c>
      <c r="C26" s="563"/>
      <c r="D26" s="563"/>
      <c r="E26" s="563"/>
      <c r="F26" s="563"/>
      <c r="G26" s="563"/>
      <c r="H26" s="563"/>
      <c r="I26" s="563"/>
    </row>
    <row r="27" spans="1:9" ht="14.25" customHeight="1">
      <c r="A27" s="239" t="s">
        <v>327</v>
      </c>
      <c r="B27" s="563" t="s">
        <v>507</v>
      </c>
      <c r="C27" s="563"/>
      <c r="D27" s="563"/>
      <c r="E27" s="563"/>
      <c r="F27" s="563"/>
      <c r="G27" s="563"/>
      <c r="H27" s="563"/>
      <c r="I27" s="563"/>
    </row>
    <row r="28" spans="1:9" ht="14.25" customHeight="1">
      <c r="A28" s="239" t="s">
        <v>328</v>
      </c>
      <c r="B28" s="563" t="s">
        <v>1113</v>
      </c>
      <c r="C28" s="563"/>
      <c r="D28" s="563"/>
      <c r="E28" s="563"/>
      <c r="F28" s="563"/>
      <c r="G28" s="563"/>
      <c r="H28" s="563"/>
      <c r="I28" s="563"/>
    </row>
    <row r="29" spans="1:9" ht="14.25" customHeight="1">
      <c r="A29" s="239" t="s">
        <v>329</v>
      </c>
      <c r="B29" s="563" t="s">
        <v>1114</v>
      </c>
      <c r="C29" s="563"/>
      <c r="D29" s="563"/>
      <c r="E29" s="563"/>
      <c r="F29" s="563"/>
      <c r="G29" s="563"/>
      <c r="H29" s="563"/>
      <c r="I29" s="563"/>
    </row>
    <row r="30" spans="1:9" ht="14.25" customHeight="1">
      <c r="A30" s="239" t="s">
        <v>330</v>
      </c>
      <c r="B30" s="563" t="s">
        <v>1115</v>
      </c>
      <c r="C30" s="563"/>
      <c r="D30" s="563"/>
      <c r="E30" s="563"/>
      <c r="F30" s="563"/>
      <c r="G30" s="563"/>
      <c r="H30" s="563"/>
      <c r="I30" s="563"/>
    </row>
    <row r="31" spans="1:9" ht="14.25" customHeight="1">
      <c r="A31" s="239" t="s">
        <v>331</v>
      </c>
      <c r="B31" s="563" t="s">
        <v>1116</v>
      </c>
      <c r="C31" s="563"/>
      <c r="D31" s="563"/>
      <c r="E31" s="563"/>
      <c r="F31" s="563"/>
      <c r="G31" s="563"/>
      <c r="H31" s="563"/>
      <c r="I31" s="563"/>
    </row>
    <row r="32" spans="1:9" ht="14.25" customHeight="1">
      <c r="A32" s="239" t="s">
        <v>332</v>
      </c>
      <c r="B32" s="563" t="s">
        <v>1117</v>
      </c>
      <c r="C32" s="563"/>
      <c r="D32" s="563"/>
      <c r="E32" s="563"/>
      <c r="F32" s="563"/>
      <c r="G32" s="563"/>
      <c r="H32" s="563"/>
      <c r="I32" s="563"/>
    </row>
    <row r="33" spans="1:9" ht="14.25" customHeight="1">
      <c r="A33" s="239" t="s">
        <v>333</v>
      </c>
      <c r="B33" s="563" t="s">
        <v>1118</v>
      </c>
      <c r="C33" s="563"/>
      <c r="D33" s="563"/>
      <c r="E33" s="563"/>
      <c r="F33" s="563"/>
      <c r="G33" s="563"/>
      <c r="H33" s="563"/>
      <c r="I33" s="563"/>
    </row>
    <row r="34" spans="1:9" ht="14.25" customHeight="1">
      <c r="A34" s="239" t="s">
        <v>334</v>
      </c>
      <c r="B34" s="563" t="s">
        <v>1119</v>
      </c>
      <c r="C34" s="563"/>
      <c r="D34" s="563"/>
      <c r="E34" s="563"/>
      <c r="F34" s="563"/>
      <c r="G34" s="563"/>
      <c r="H34" s="563"/>
      <c r="I34" s="563"/>
    </row>
    <row r="35" spans="1:9" ht="14.25" customHeight="1">
      <c r="A35" s="239" t="s">
        <v>335</v>
      </c>
      <c r="B35" s="563" t="s">
        <v>1120</v>
      </c>
      <c r="C35" s="563"/>
      <c r="D35" s="563"/>
      <c r="E35" s="563"/>
      <c r="F35" s="563"/>
      <c r="G35" s="563"/>
      <c r="H35" s="563"/>
      <c r="I35" s="563"/>
    </row>
    <row r="36" spans="1:9" ht="14.25" customHeight="1">
      <c r="A36" s="239" t="s">
        <v>483</v>
      </c>
      <c r="B36" s="563" t="s">
        <v>458</v>
      </c>
      <c r="C36" s="563"/>
      <c r="D36" s="563"/>
      <c r="E36" s="563"/>
      <c r="F36" s="563"/>
      <c r="G36" s="563"/>
      <c r="H36" s="563"/>
      <c r="I36" s="563"/>
    </row>
    <row r="37" spans="1:9" ht="14.25" customHeight="1">
      <c r="A37" s="239" t="s">
        <v>591</v>
      </c>
      <c r="B37" s="563" t="s">
        <v>459</v>
      </c>
      <c r="C37" s="563"/>
      <c r="D37" s="563"/>
      <c r="E37" s="563"/>
      <c r="F37" s="563"/>
      <c r="G37" s="563"/>
      <c r="H37" s="563"/>
      <c r="I37" s="563"/>
    </row>
    <row r="38" spans="1:9" ht="14.25" customHeight="1">
      <c r="A38" s="239" t="s">
        <v>592</v>
      </c>
      <c r="B38" s="563" t="s">
        <v>460</v>
      </c>
      <c r="C38" s="563"/>
      <c r="D38" s="563"/>
      <c r="E38" s="563"/>
      <c r="F38" s="563"/>
      <c r="G38" s="563"/>
      <c r="H38" s="563"/>
      <c r="I38" s="563"/>
    </row>
    <row r="39" spans="1:9" ht="14.25" customHeight="1">
      <c r="A39" s="239" t="s">
        <v>593</v>
      </c>
      <c r="B39" s="563" t="s">
        <v>461</v>
      </c>
      <c r="C39" s="563"/>
      <c r="D39" s="563"/>
      <c r="E39" s="563"/>
      <c r="F39" s="563"/>
      <c r="G39" s="563"/>
      <c r="H39" s="563"/>
      <c r="I39" s="563"/>
    </row>
    <row r="40" spans="1:9" ht="14.25" customHeight="1">
      <c r="A40" s="239" t="s">
        <v>600</v>
      </c>
      <c r="B40" s="563" t="s">
        <v>467</v>
      </c>
      <c r="C40" s="563"/>
      <c r="D40" s="563"/>
      <c r="E40" s="563"/>
      <c r="F40" s="563"/>
      <c r="G40" s="563"/>
      <c r="H40" s="563"/>
      <c r="I40" s="563"/>
    </row>
    <row r="41" spans="1:9" ht="14.25" customHeight="1">
      <c r="A41" s="239" t="s">
        <v>601</v>
      </c>
      <c r="B41" s="563" t="s">
        <v>468</v>
      </c>
      <c r="C41" s="563"/>
      <c r="D41" s="563"/>
      <c r="E41" s="563"/>
      <c r="F41" s="563"/>
      <c r="G41" s="563"/>
      <c r="H41" s="563"/>
      <c r="I41" s="563"/>
    </row>
    <row r="42" spans="1:9" ht="14.25" customHeight="1">
      <c r="A42" s="239" t="s">
        <v>602</v>
      </c>
      <c r="B42" s="563" t="s">
        <v>469</v>
      </c>
      <c r="C42" s="563"/>
      <c r="D42" s="563"/>
      <c r="E42" s="563"/>
      <c r="F42" s="563"/>
      <c r="G42" s="563"/>
      <c r="H42" s="563"/>
      <c r="I42" s="563"/>
    </row>
    <row r="43" spans="1:9" ht="14.25">
      <c r="A43" s="239" t="s">
        <v>603</v>
      </c>
      <c r="B43" s="563" t="s">
        <v>1122</v>
      </c>
      <c r="C43" s="563"/>
      <c r="D43" s="563"/>
      <c r="E43" s="563"/>
      <c r="F43" s="563"/>
      <c r="G43" s="563"/>
      <c r="H43" s="563"/>
      <c r="I43" s="563"/>
    </row>
    <row r="45" spans="1:9" ht="49.5" customHeight="1">
      <c r="A45" s="566" t="s">
        <v>1103</v>
      </c>
      <c r="B45" s="566"/>
      <c r="C45" s="566"/>
      <c r="D45" s="566"/>
      <c r="E45" s="566"/>
      <c r="F45" s="566"/>
      <c r="G45" s="566"/>
      <c r="H45" s="566"/>
      <c r="I45" s="566"/>
    </row>
  </sheetData>
  <mergeCells count="28">
    <mergeCell ref="A45:I45"/>
    <mergeCell ref="B40:I40"/>
    <mergeCell ref="B41:I41"/>
    <mergeCell ref="B31:I31"/>
    <mergeCell ref="B32:I32"/>
    <mergeCell ref="B33:I33"/>
    <mergeCell ref="B34:I34"/>
    <mergeCell ref="B35:I35"/>
    <mergeCell ref="B42:I42"/>
    <mergeCell ref="B36:I36"/>
    <mergeCell ref="B43:I43"/>
    <mergeCell ref="B39:I39"/>
    <mergeCell ref="A17:I17"/>
    <mergeCell ref="B19:I19"/>
    <mergeCell ref="A15:I15"/>
    <mergeCell ref="B21:I21"/>
    <mergeCell ref="B22:I22"/>
    <mergeCell ref="B23:I23"/>
    <mergeCell ref="B20:I20"/>
    <mergeCell ref="B26:I26"/>
    <mergeCell ref="B37:I37"/>
    <mergeCell ref="B38:I38"/>
    <mergeCell ref="B24:I24"/>
    <mergeCell ref="B25:I25"/>
    <mergeCell ref="B27:I27"/>
    <mergeCell ref="B28:I28"/>
    <mergeCell ref="B29:I29"/>
    <mergeCell ref="B30:I30"/>
  </mergeCells>
  <phoneticPr fontId="102" type="noConversion"/>
  <hyperlinks>
    <hyperlink ref="A15:I15" location="'Compendio de Vivienda 2018'!F32" display="Capítulo 4: Aporte del SFNV al área habitacional  " xr:uid="{00000000-0004-0000-2300-000000000000}"/>
    <hyperlink ref="B19:I19" location="'c31 g3'!A1" display="Número y monto de los Bonos Familiares de Vivienda (BFV) pagados. 2005-2018." xr:uid="{00000000-0004-0000-2300-000001000000}"/>
    <hyperlink ref="B21:I21" location="'c32'!B3" display="Número de BFV pagados por entidad autorizada. 2005-2018." xr:uid="{00000000-0004-0000-2300-000002000000}"/>
    <hyperlink ref="B22:I22" location="'c33'!B3" display="Número de BFV pagados por estrato. 2005-2018." xr:uid="{00000000-0004-0000-2300-000003000000}"/>
    <hyperlink ref="B23:I23" location="'c34'!B3" display="Número de BFV pagados por modalidad de presupuesto. 2005-2018." xr:uid="{00000000-0004-0000-2300-000004000000}"/>
    <hyperlink ref="B24:I24" location="'c35'!B3" display="Número de BFV pagados por propósito. 2005-2018." xr:uid="{00000000-0004-0000-2300-000005000000}"/>
    <hyperlink ref="B25:I25" location="'c36'!B3" display="Número de BFV pagados por género del jefe de familia. 2005-2018." xr:uid="{00000000-0004-0000-2300-000006000000}"/>
    <hyperlink ref="B27:I27" location="'c38'!B3" display="Número de BFV pagados a nacionales y extranjeros. 2005-2018." xr:uid="{00000000-0004-0000-2300-000007000000}"/>
    <hyperlink ref="B28:I28" location="'c39'!B3" display="Número de BFV pagados según cantón. Provincia de San José. 2010-2018." xr:uid="{00000000-0004-0000-2300-000008000000}"/>
    <hyperlink ref="B29:I29" location="'c40'!B3" display="Número de BFV pagados según cantón. Provincia de Alajuela. 2010-2018." xr:uid="{00000000-0004-0000-2300-000009000000}"/>
    <hyperlink ref="B30:I30" location="'c41'!B3" display="Número de BFV pagados por cantón. Provincia de Cartago. 2010-2018." xr:uid="{00000000-0004-0000-2300-00000A000000}"/>
    <hyperlink ref="B31:I31" location="'c42'!B3" display="Número de BFV pagados por cantón. Provincia de Heredia. 2010-2018." xr:uid="{00000000-0004-0000-2300-00000B000000}"/>
    <hyperlink ref="B32:I32" location="'c43'!B3" display="Número de BFV pagados por cantón. Provincia de Guanacaste. 2010-2018." xr:uid="{00000000-0004-0000-2300-00000C000000}"/>
    <hyperlink ref="B33:I33" location="'c44'!B3" display="Número de BFV pagados por cantón. Provincia de Puntarenas. 2010-2018." xr:uid="{00000000-0004-0000-2300-00000D000000}"/>
    <hyperlink ref="B34:I34" location="'c45'!B3" display="Número de BFV pagados por cantón. Provincia de Limón. 2010-2018." xr:uid="{00000000-0004-0000-2300-00000E000000}"/>
    <hyperlink ref="B35:I35" location="'c46'!B3" display="Número de BFV pagados dentro y fuera del Gran Área Metropolitana. 2010-2018." xr:uid="{00000000-0004-0000-2300-00000F000000}"/>
    <hyperlink ref="B36:I36" location="'c47'!B3" display="Número y monto de BFV pagados según región. 2018." xr:uid="{00000000-0004-0000-2300-000010000000}"/>
    <hyperlink ref="B37:I37" location="'c48'!B3" display="Número y monto de BFV pagados en la Región Central, según cantón. 2018." xr:uid="{00000000-0004-0000-2300-000011000000}"/>
    <hyperlink ref="B38:I38" location="'c49'!B3" display="Número y monto de BFV pagados en la Región Chorotega, según cantón. 2018." xr:uid="{00000000-0004-0000-2300-000012000000}"/>
    <hyperlink ref="B39:I39" location="'c50'!B3" display="Número y monto de BFV pagados en la Región Pacífico Central, según cantón. 2018." xr:uid="{00000000-0004-0000-2300-000013000000}"/>
    <hyperlink ref="B40:I40" location="'c51'!B3" display="Número y monto de BFV pagados en la Región Brunca, según cantón. 2018." xr:uid="{00000000-0004-0000-2300-000014000000}"/>
    <hyperlink ref="B41:I41" location="'c52'!B3" display="Número y monto de BFV pagados en la Región Huetar Caribe, según cantón. 2018." xr:uid="{00000000-0004-0000-2300-000015000000}"/>
    <hyperlink ref="B42:I42" location="'c53'!B3" display="Número y monto de BFV pagados en la Región Huetar Norte, según cantón. 2018." xr:uid="{00000000-0004-0000-2300-000016000000}"/>
    <hyperlink ref="B20:I20" location="'c31 g3'!A1" display="Número de BFV pagados y monto de la inversión real. 2005-2018." xr:uid="{00000000-0004-0000-2300-000017000000}"/>
    <hyperlink ref="B26:I26" location="'c37'!B3" display="Número de BFV pagados por grupo de edad del jefe de familia. 2005-2018." xr:uid="{00000000-0004-0000-2300-000018000000}"/>
    <hyperlink ref="B43:I43" location="'c54'!B3" display="Número de BFV pagados por distrito. 2010-2018." xr:uid="{00000000-0004-0000-2300-000019000000}"/>
  </hyperlinks>
  <printOptions horizontalCentered="1" verticalCentered="1"/>
  <pageMargins left="0.75" right="0.75" top="0.98425196850393704" bottom="0.98425196850393704" header="0.59055118110236227" footer="0.59055118110236227"/>
  <pageSetup scale="75" orientation="landscape" horizontalDpi="180" verticalDpi="18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1:N49"/>
  <sheetViews>
    <sheetView showGridLines="0" zoomScale="115" zoomScaleNormal="115" workbookViewId="0">
      <pane ySplit="4" topLeftCell="A5" activePane="bottomLeft" state="frozen"/>
      <selection pane="bottomLeft"/>
    </sheetView>
  </sheetViews>
  <sheetFormatPr baseColWidth="10" defaultRowHeight="12.75"/>
  <cols>
    <col min="1" max="2" width="11.42578125" style="22"/>
    <col min="3" max="3" width="12.85546875" style="22" bestFit="1" customWidth="1"/>
    <col min="4" max="4" width="24.7109375" style="22" customWidth="1"/>
    <col min="5" max="5" width="17.5703125" style="22" customWidth="1"/>
    <col min="6" max="6" width="16" style="22" customWidth="1"/>
    <col min="7" max="7" width="16.140625" style="22" customWidth="1"/>
    <col min="8" max="8" width="15.42578125" style="22" bestFit="1" customWidth="1"/>
    <col min="9" max="9" width="17.5703125" style="22" customWidth="1"/>
    <col min="10" max="16384" width="11.42578125" style="22"/>
  </cols>
  <sheetData>
    <row r="1" spans="2:14" ht="15">
      <c r="B1" s="25"/>
      <c r="C1" s="25"/>
      <c r="D1" s="25"/>
      <c r="E1" s="25"/>
      <c r="F1" s="25"/>
      <c r="G1" s="25"/>
      <c r="H1" s="126"/>
      <c r="I1" s="126"/>
      <c r="J1" s="24"/>
      <c r="K1" s="24"/>
    </row>
    <row r="2" spans="2:14" ht="15.75" customHeight="1">
      <c r="B2" s="462" t="s">
        <v>1138</v>
      </c>
      <c r="C2" s="462"/>
      <c r="D2" s="462"/>
      <c r="E2" s="462"/>
      <c r="F2" s="462"/>
      <c r="G2" s="462"/>
      <c r="H2" s="462"/>
      <c r="I2" s="462"/>
      <c r="J2" s="24"/>
      <c r="K2" s="24"/>
    </row>
    <row r="3" spans="2:14" ht="22.5" customHeight="1" thickBot="1">
      <c r="B3" s="482" t="s">
        <v>501</v>
      </c>
      <c r="C3" s="482"/>
      <c r="D3" s="482"/>
      <c r="E3" s="482"/>
      <c r="F3" s="482"/>
      <c r="G3" s="482"/>
      <c r="H3" s="482"/>
      <c r="I3" s="482"/>
      <c r="J3" s="24"/>
      <c r="K3" s="24"/>
    </row>
    <row r="4" spans="2:14" ht="80.25" thickTop="1" thickBot="1">
      <c r="B4" s="327" t="s">
        <v>10</v>
      </c>
      <c r="C4" s="327" t="s">
        <v>182</v>
      </c>
      <c r="D4" s="338" t="s">
        <v>1090</v>
      </c>
      <c r="E4" s="338" t="s">
        <v>314</v>
      </c>
      <c r="F4" s="338" t="s">
        <v>452</v>
      </c>
      <c r="G4" s="338" t="s">
        <v>1091</v>
      </c>
      <c r="H4" s="338" t="s">
        <v>315</v>
      </c>
      <c r="I4" s="338" t="s">
        <v>183</v>
      </c>
      <c r="J4" s="24"/>
      <c r="K4" s="24"/>
    </row>
    <row r="5" spans="2:14" ht="15" thickTop="1" thickBot="1">
      <c r="B5" s="250">
        <v>2005</v>
      </c>
      <c r="C5" s="413">
        <v>9917</v>
      </c>
      <c r="D5" s="321">
        <f>29501967432.09/1000000</f>
        <v>29501.967432090001</v>
      </c>
      <c r="E5" s="321">
        <f t="shared" ref="E5:E13" si="0">(D5*1000000)/C5</f>
        <v>2974888.3162337402</v>
      </c>
      <c r="F5" s="331">
        <v>50.3</v>
      </c>
      <c r="G5" s="321">
        <f>+(D5/F5)*$F$18</f>
        <v>58652.022727813128</v>
      </c>
      <c r="H5" s="321">
        <f>+(G5/C5)*1000000</f>
        <v>5914290.8871446131</v>
      </c>
      <c r="I5" s="280" t="s">
        <v>156</v>
      </c>
      <c r="J5" s="24"/>
      <c r="K5" s="24"/>
    </row>
    <row r="6" spans="2:14" ht="15" thickTop="1" thickBot="1">
      <c r="B6" s="250">
        <v>2006</v>
      </c>
      <c r="C6" s="413">
        <v>8756</v>
      </c>
      <c r="D6" s="321">
        <v>29590.681092629999</v>
      </c>
      <c r="E6" s="321">
        <f t="shared" si="0"/>
        <v>3379474.7707434897</v>
      </c>
      <c r="F6" s="331">
        <v>56.1</v>
      </c>
      <c r="G6" s="321">
        <f t="shared" ref="G6:G17" si="1">+(D6/F6)*$F$18</f>
        <v>52746.312108074861</v>
      </c>
      <c r="H6" s="321">
        <f t="shared" ref="H6:H13" si="2">+(G6/C6)*1000000</f>
        <v>6024019.1991862562</v>
      </c>
      <c r="I6" s="280">
        <f t="shared" ref="I6:I17" si="3">+(H6-H5)/H5</f>
        <v>1.8553080011696768E-2</v>
      </c>
      <c r="J6" s="24"/>
      <c r="K6" s="24"/>
    </row>
    <row r="7" spans="2:14" ht="15" thickTop="1" thickBot="1">
      <c r="B7" s="250">
        <v>2007</v>
      </c>
      <c r="C7" s="413">
        <v>11442</v>
      </c>
      <c r="D7" s="321">
        <f>42743338049.92/1000000</f>
        <v>42743.338049919999</v>
      </c>
      <c r="E7" s="321">
        <f t="shared" si="0"/>
        <v>3735652.6874602339</v>
      </c>
      <c r="F7" s="331">
        <v>61.3</v>
      </c>
      <c r="G7" s="321">
        <f t="shared" si="1"/>
        <v>69728.120799216966</v>
      </c>
      <c r="H7" s="321">
        <f t="shared" si="2"/>
        <v>6094050.0611096807</v>
      </c>
      <c r="I7" s="280">
        <f t="shared" si="3"/>
        <v>1.1625272033144337E-2</v>
      </c>
      <c r="J7" s="24"/>
      <c r="K7" s="24"/>
    </row>
    <row r="8" spans="2:14" ht="15" thickTop="1" thickBot="1">
      <c r="B8" s="250">
        <v>2008</v>
      </c>
      <c r="C8" s="413">
        <v>12714</v>
      </c>
      <c r="D8" s="321">
        <f>57060156718.99/1000000</f>
        <v>57060.156718989994</v>
      </c>
      <c r="E8" s="321">
        <f t="shared" si="0"/>
        <v>4487978.3481980488</v>
      </c>
      <c r="F8" s="331">
        <v>69.5</v>
      </c>
      <c r="G8" s="321">
        <f t="shared" si="1"/>
        <v>82100.94491941006</v>
      </c>
      <c r="H8" s="321">
        <f t="shared" si="2"/>
        <v>6457522.8031626595</v>
      </c>
      <c r="I8" s="280">
        <f t="shared" si="3"/>
        <v>5.9643872040459275E-2</v>
      </c>
      <c r="J8" s="24"/>
      <c r="K8" s="24"/>
      <c r="L8" s="197"/>
    </row>
    <row r="9" spans="2:14" ht="15" thickTop="1" thickBot="1">
      <c r="B9" s="250">
        <v>2009</v>
      </c>
      <c r="C9" s="413">
        <v>9642</v>
      </c>
      <c r="D9" s="321">
        <v>56002</v>
      </c>
      <c r="E9" s="321">
        <f t="shared" si="0"/>
        <v>5808131.0931342049</v>
      </c>
      <c r="F9" s="331">
        <v>70.2</v>
      </c>
      <c r="G9" s="321">
        <f t="shared" si="1"/>
        <v>79774.928774928776</v>
      </c>
      <c r="H9" s="321">
        <f t="shared" si="2"/>
        <v>8273691.0158606898</v>
      </c>
      <c r="I9" s="280">
        <f t="shared" si="3"/>
        <v>0.28124843969711377</v>
      </c>
      <c r="J9" s="24"/>
      <c r="K9" s="24"/>
    </row>
    <row r="10" spans="2:14" ht="15" thickTop="1" thickBot="1">
      <c r="B10" s="250">
        <v>2010</v>
      </c>
      <c r="C10" s="413">
        <v>10722</v>
      </c>
      <c r="D10" s="321">
        <v>67374</v>
      </c>
      <c r="E10" s="321">
        <f t="shared" si="0"/>
        <v>6283715.7246782314</v>
      </c>
      <c r="F10" s="331">
        <v>79.2</v>
      </c>
      <c r="G10" s="321">
        <f t="shared" si="1"/>
        <v>85068.181818181809</v>
      </c>
      <c r="H10" s="321">
        <f t="shared" si="2"/>
        <v>7933984.500856353</v>
      </c>
      <c r="I10" s="280">
        <f t="shared" si="3"/>
        <v>-4.1058641705753629E-2</v>
      </c>
      <c r="J10" s="24"/>
      <c r="K10" s="24"/>
      <c r="M10" s="198"/>
    </row>
    <row r="11" spans="2:14" ht="15" thickTop="1" thickBot="1">
      <c r="B11" s="250">
        <v>2011</v>
      </c>
      <c r="C11" s="413">
        <v>10461</v>
      </c>
      <c r="D11" s="321">
        <v>69048</v>
      </c>
      <c r="E11" s="321">
        <f t="shared" si="0"/>
        <v>6600516.2030398622</v>
      </c>
      <c r="F11" s="331">
        <v>83.1</v>
      </c>
      <c r="G11" s="321">
        <f t="shared" si="1"/>
        <v>83090.25270758124</v>
      </c>
      <c r="H11" s="321">
        <f t="shared" si="2"/>
        <v>7942859.4501081388</v>
      </c>
      <c r="I11" s="280">
        <f t="shared" si="3"/>
        <v>1.1185992675972532E-3</v>
      </c>
      <c r="J11" s="24"/>
      <c r="K11" s="24"/>
    </row>
    <row r="12" spans="2:14" ht="15" thickTop="1" thickBot="1">
      <c r="B12" s="250">
        <v>2012</v>
      </c>
      <c r="C12" s="413">
        <v>9463</v>
      </c>
      <c r="D12" s="321">
        <v>65587.3</v>
      </c>
      <c r="E12" s="321">
        <f t="shared" si="0"/>
        <v>6930920.4269259218</v>
      </c>
      <c r="F12" s="331">
        <v>86.8</v>
      </c>
      <c r="G12" s="321">
        <f t="shared" si="1"/>
        <v>75561.405529953918</v>
      </c>
      <c r="H12" s="321">
        <f t="shared" si="2"/>
        <v>7984931.3674261775</v>
      </c>
      <c r="I12" s="280">
        <f t="shared" si="3"/>
        <v>5.2968225841470542E-3</v>
      </c>
      <c r="J12" s="24"/>
      <c r="K12" s="24"/>
    </row>
    <row r="13" spans="2:14" ht="15" thickTop="1" thickBot="1">
      <c r="B13" s="250">
        <v>2013</v>
      </c>
      <c r="C13" s="424">
        <v>10061</v>
      </c>
      <c r="D13" s="332">
        <v>73744.800000000003</v>
      </c>
      <c r="E13" s="321">
        <f t="shared" si="0"/>
        <v>7329768.4126826357</v>
      </c>
      <c r="F13" s="331">
        <v>91.4</v>
      </c>
      <c r="G13" s="321">
        <f t="shared" si="1"/>
        <v>80683.5886214442</v>
      </c>
      <c r="H13" s="321">
        <f t="shared" si="2"/>
        <v>8019440.2764580259</v>
      </c>
      <c r="I13" s="280">
        <f t="shared" si="3"/>
        <v>4.3217539943579816E-3</v>
      </c>
      <c r="J13" s="24"/>
      <c r="K13" s="24"/>
    </row>
    <row r="14" spans="2:14" ht="15" thickTop="1" thickBot="1">
      <c r="B14" s="253">
        <v>2014</v>
      </c>
      <c r="C14" s="413">
        <v>9804</v>
      </c>
      <c r="D14" s="321">
        <v>73273</v>
      </c>
      <c r="E14" s="321">
        <f>(D14*1000000)/C14</f>
        <v>7473786.2097103223</v>
      </c>
      <c r="F14" s="331">
        <v>95.5</v>
      </c>
      <c r="G14" s="321">
        <f t="shared" si="1"/>
        <v>76725.654450261776</v>
      </c>
      <c r="H14" s="321">
        <f>+(G14/C14)*1000000</f>
        <v>7825954.1462935302</v>
      </c>
      <c r="I14" s="280">
        <f t="shared" si="3"/>
        <v>-2.4127136495111272E-2</v>
      </c>
      <c r="J14" s="24"/>
      <c r="K14" s="24"/>
      <c r="N14" s="17"/>
    </row>
    <row r="15" spans="2:14" ht="15" thickTop="1" thickBot="1">
      <c r="B15" s="333">
        <v>2015</v>
      </c>
      <c r="C15" s="425">
        <v>10867</v>
      </c>
      <c r="D15" s="321">
        <v>84249</v>
      </c>
      <c r="E15" s="321">
        <f>(D15*1000000)/C15</f>
        <v>7752737.6460844763</v>
      </c>
      <c r="F15" s="331">
        <v>96.3</v>
      </c>
      <c r="G15" s="321">
        <f t="shared" si="1"/>
        <v>87485.98130841121</v>
      </c>
      <c r="H15" s="321">
        <f>+(G15/C15)*1000000</f>
        <v>8050610.224386787</v>
      </c>
      <c r="I15" s="280">
        <f t="shared" si="3"/>
        <v>2.8706541578659355E-2</v>
      </c>
      <c r="J15" s="24"/>
      <c r="K15" s="24"/>
    </row>
    <row r="16" spans="2:14" ht="15" thickTop="1" thickBot="1">
      <c r="B16" s="250">
        <v>2016</v>
      </c>
      <c r="C16" s="413">
        <v>11823</v>
      </c>
      <c r="D16" s="334">
        <v>93999.4</v>
      </c>
      <c r="E16" s="321">
        <f>(D16*1000000)/C16</f>
        <v>7950554.0049056923</v>
      </c>
      <c r="F16" s="331">
        <v>96.3</v>
      </c>
      <c r="G16" s="321">
        <f t="shared" si="1"/>
        <v>97611.007268951187</v>
      </c>
      <c r="H16" s="321">
        <f>+(G16/C16)*1000000</f>
        <v>8256027.0040557543</v>
      </c>
      <c r="I16" s="280">
        <f t="shared" si="3"/>
        <v>2.5515678183837771E-2</v>
      </c>
      <c r="J16" s="24"/>
      <c r="K16" s="24"/>
      <c r="L16" s="17"/>
    </row>
    <row r="17" spans="2:12" ht="15" thickTop="1" thickBot="1">
      <c r="B17" s="335">
        <v>2017</v>
      </c>
      <c r="C17" s="412">
        <v>11155</v>
      </c>
      <c r="D17" s="336">
        <v>95425</v>
      </c>
      <c r="E17" s="336">
        <f>(D17*1000000)/C17</f>
        <v>8554459.8834603317</v>
      </c>
      <c r="F17" s="337">
        <v>97.8</v>
      </c>
      <c r="G17" s="321">
        <f t="shared" si="1"/>
        <v>97571.574642126798</v>
      </c>
      <c r="H17" s="336">
        <f>+(G17/C17)*1000000</f>
        <v>8746891.4963807091</v>
      </c>
      <c r="I17" s="280">
        <f t="shared" si="3"/>
        <v>5.945529152022138E-2</v>
      </c>
      <c r="J17" s="24"/>
      <c r="K17" s="24"/>
      <c r="L17" s="17"/>
    </row>
    <row r="18" spans="2:12" ht="15" thickTop="1" thickBot="1">
      <c r="B18" s="335">
        <v>2018</v>
      </c>
      <c r="C18" s="412">
        <v>11461</v>
      </c>
      <c r="D18" s="336">
        <v>104875</v>
      </c>
      <c r="E18" s="336">
        <f>(D18*1000000)/C18</f>
        <v>9150597.6790855955</v>
      </c>
      <c r="F18" s="337">
        <v>100</v>
      </c>
      <c r="G18" s="321">
        <f>+(D18/F18)*$F$18</f>
        <v>104875</v>
      </c>
      <c r="H18" s="336">
        <f>+(G18/C18)*1000000</f>
        <v>9150597.6790855937</v>
      </c>
      <c r="I18" s="280">
        <f>+(H18-H17)/H17</f>
        <v>4.6154246096676767E-2</v>
      </c>
      <c r="J18" s="24"/>
      <c r="K18" s="24"/>
      <c r="L18" s="17"/>
    </row>
    <row r="19" spans="2:12" ht="15" thickTop="1" thickBot="1">
      <c r="B19" s="328"/>
      <c r="C19" s="329"/>
      <c r="D19" s="330"/>
      <c r="E19" s="329"/>
      <c r="F19" s="329"/>
      <c r="G19" s="329"/>
      <c r="H19" s="329"/>
      <c r="I19" s="329"/>
      <c r="J19" s="24"/>
      <c r="K19" s="24"/>
    </row>
    <row r="20" spans="2:12" ht="15" thickTop="1" thickBot="1">
      <c r="B20" s="478" t="s">
        <v>184</v>
      </c>
      <c r="C20" s="479"/>
      <c r="D20" s="479"/>
      <c r="E20" s="479"/>
      <c r="F20" s="479"/>
      <c r="G20" s="479"/>
      <c r="H20" s="479"/>
      <c r="I20" s="479"/>
      <c r="J20" s="24"/>
      <c r="K20" s="24"/>
    </row>
    <row r="21" spans="2:12" ht="15" thickTop="1" thickBot="1">
      <c r="B21" s="521" t="s">
        <v>1088</v>
      </c>
      <c r="C21" s="479"/>
      <c r="D21" s="479"/>
      <c r="E21" s="479"/>
      <c r="F21" s="479"/>
      <c r="G21" s="479"/>
      <c r="H21" s="479"/>
      <c r="I21" s="479"/>
      <c r="J21" s="24"/>
      <c r="K21" s="24"/>
    </row>
    <row r="22" spans="2:12" ht="15" thickTop="1" thickBot="1">
      <c r="B22" s="521" t="s">
        <v>1089</v>
      </c>
      <c r="C22" s="479"/>
      <c r="D22" s="479"/>
      <c r="E22" s="479"/>
      <c r="F22" s="479"/>
      <c r="G22" s="479"/>
      <c r="H22" s="479"/>
      <c r="I22" s="479"/>
      <c r="J22" s="24"/>
      <c r="K22" s="24"/>
    </row>
    <row r="23" spans="2:12" ht="14.25" thickTop="1">
      <c r="B23" s="24"/>
      <c r="C23" s="24"/>
      <c r="D23" s="24"/>
      <c r="E23" s="24"/>
      <c r="F23" s="24"/>
      <c r="G23" s="24"/>
      <c r="H23" s="127"/>
      <c r="I23" s="127"/>
      <c r="J23" s="24"/>
      <c r="K23" s="24"/>
    </row>
    <row r="24" spans="2:12" ht="15">
      <c r="B24" s="24"/>
      <c r="C24" s="24"/>
      <c r="D24" s="24"/>
      <c r="E24" s="124"/>
      <c r="F24" s="24"/>
      <c r="G24" s="24"/>
      <c r="H24" s="24"/>
      <c r="I24" s="24"/>
      <c r="J24" s="24"/>
      <c r="K24" s="24"/>
    </row>
    <row r="49" spans="4:4">
      <c r="D49" s="288" t="s">
        <v>697</v>
      </c>
    </row>
  </sheetData>
  <mergeCells count="5">
    <mergeCell ref="B21:I21"/>
    <mergeCell ref="B20:I20"/>
    <mergeCell ref="B2:I2"/>
    <mergeCell ref="B3:I3"/>
    <mergeCell ref="B22:I22"/>
  </mergeCells>
  <hyperlinks>
    <hyperlink ref="B3:I3" location="'Capitulo 4'!B19" display="Número y monto de los Bonos Familiares de Vivienda (BFV) pagados. 2000-2018." xr:uid="{00000000-0004-0000-2400-000000000000}"/>
    <hyperlink ref="D49" location="'Capitulo 4'!B20" display="'Capitulo 4'!B20" xr:uid="{00000000-0004-0000-2400-000001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90" orientation="landscape" verticalDpi="0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B1:K32"/>
  <sheetViews>
    <sheetView showGridLines="0" workbookViewId="0">
      <pane ySplit="4" topLeftCell="A5" activePane="bottomLeft" state="frozen"/>
      <selection pane="bottomLeft" activeCell="J32" sqref="J32"/>
    </sheetView>
  </sheetViews>
  <sheetFormatPr baseColWidth="10" defaultRowHeight="12.75"/>
  <cols>
    <col min="1" max="2" width="11.42578125" style="22"/>
    <col min="3" max="3" width="12.85546875" style="22" bestFit="1" customWidth="1"/>
    <col min="4" max="4" width="13.42578125" style="22" customWidth="1"/>
    <col min="5" max="5" width="11.5703125" style="22" bestFit="1" customWidth="1"/>
    <col min="6" max="6" width="15" style="22" customWidth="1"/>
    <col min="7" max="7" width="17.140625" style="22" customWidth="1"/>
    <col min="8" max="8" width="19.28515625" style="22" customWidth="1"/>
    <col min="9" max="10" width="11.5703125" style="22" bestFit="1" customWidth="1"/>
    <col min="11" max="11" width="14.7109375" style="22" bestFit="1" customWidth="1"/>
    <col min="12" max="16384" width="11.42578125" style="22"/>
  </cols>
  <sheetData>
    <row r="1" spans="2:11" ht="13.5">
      <c r="B1" s="24"/>
      <c r="C1" s="24"/>
      <c r="D1" s="24"/>
      <c r="E1" s="24"/>
      <c r="F1" s="24"/>
      <c r="G1" s="24"/>
      <c r="H1" s="24"/>
      <c r="I1" s="24"/>
      <c r="J1" s="24"/>
    </row>
    <row r="2" spans="2:11" ht="15.75" customHeight="1">
      <c r="B2" s="462" t="s">
        <v>316</v>
      </c>
      <c r="C2" s="462"/>
      <c r="D2" s="462"/>
      <c r="E2" s="462"/>
      <c r="F2" s="462"/>
      <c r="G2" s="462"/>
      <c r="H2" s="462"/>
      <c r="I2" s="462"/>
      <c r="J2" s="462"/>
    </row>
    <row r="3" spans="2:11" ht="21.75" customHeight="1" thickBot="1">
      <c r="B3" s="464" t="s">
        <v>502</v>
      </c>
      <c r="C3" s="464"/>
      <c r="D3" s="464"/>
      <c r="E3" s="464"/>
      <c r="F3" s="464"/>
      <c r="G3" s="464"/>
      <c r="H3" s="464"/>
      <c r="I3" s="464"/>
      <c r="J3" s="464"/>
    </row>
    <row r="4" spans="2:11" ht="52.5" thickTop="1" thickBot="1">
      <c r="B4" s="327" t="s">
        <v>1068</v>
      </c>
      <c r="C4" s="327" t="s">
        <v>4</v>
      </c>
      <c r="D4" s="327" t="s">
        <v>186</v>
      </c>
      <c r="E4" s="327" t="s">
        <v>187</v>
      </c>
      <c r="F4" s="327" t="s">
        <v>188</v>
      </c>
      <c r="G4" s="327" t="s">
        <v>5</v>
      </c>
      <c r="H4" s="327" t="s">
        <v>189</v>
      </c>
      <c r="I4" s="327" t="s">
        <v>6</v>
      </c>
      <c r="J4" s="327" t="s">
        <v>594</v>
      </c>
    </row>
    <row r="5" spans="2:11" ht="14.25" thickTop="1" thickBot="1">
      <c r="B5" s="250">
        <v>2005</v>
      </c>
      <c r="C5" s="419">
        <f t="shared" ref="C5:C17" si="0">SUM(D5:J5)</f>
        <v>9917</v>
      </c>
      <c r="D5" s="413">
        <v>0</v>
      </c>
      <c r="E5" s="413">
        <v>1250</v>
      </c>
      <c r="F5" s="413">
        <v>250</v>
      </c>
      <c r="G5" s="413">
        <v>1648</v>
      </c>
      <c r="H5" s="413">
        <v>1880</v>
      </c>
      <c r="I5" s="413">
        <v>2819</v>
      </c>
      <c r="J5" s="413">
        <v>2070</v>
      </c>
      <c r="K5" s="128"/>
    </row>
    <row r="6" spans="2:11" ht="14.25" thickTop="1" thickBot="1">
      <c r="B6" s="250">
        <v>2006</v>
      </c>
      <c r="C6" s="419">
        <f t="shared" si="0"/>
        <v>8756</v>
      </c>
      <c r="D6" s="413">
        <v>11</v>
      </c>
      <c r="E6" s="413">
        <v>1612</v>
      </c>
      <c r="F6" s="413">
        <v>416</v>
      </c>
      <c r="G6" s="413">
        <f>474+482+831+417</f>
        <v>2204</v>
      </c>
      <c r="H6" s="413">
        <v>840</v>
      </c>
      <c r="I6" s="413">
        <f>579+1442</f>
        <v>2021</v>
      </c>
      <c r="J6" s="413">
        <v>1652</v>
      </c>
    </row>
    <row r="7" spans="2:11" ht="15" thickTop="1" thickBot="1">
      <c r="B7" s="250">
        <v>2007</v>
      </c>
      <c r="C7" s="419">
        <f t="shared" si="0"/>
        <v>11442</v>
      </c>
      <c r="D7" s="413">
        <f>2+25+124</f>
        <v>151</v>
      </c>
      <c r="E7" s="413">
        <v>2050</v>
      </c>
      <c r="F7" s="413">
        <v>346</v>
      </c>
      <c r="G7" s="413">
        <f>869+759+1045+591+156+6</f>
        <v>3426</v>
      </c>
      <c r="H7" s="413">
        <v>1074</v>
      </c>
      <c r="I7" s="413">
        <f>859+1854</f>
        <v>2713</v>
      </c>
      <c r="J7" s="413">
        <v>1682</v>
      </c>
      <c r="K7" s="129"/>
    </row>
    <row r="8" spans="2:11" ht="14.25" thickTop="1" thickBot="1">
      <c r="B8" s="250">
        <v>2008</v>
      </c>
      <c r="C8" s="419">
        <f t="shared" si="0"/>
        <v>12714</v>
      </c>
      <c r="D8" s="413">
        <f>65+68+462</f>
        <v>595</v>
      </c>
      <c r="E8" s="413">
        <v>1878</v>
      </c>
      <c r="F8" s="413">
        <v>261</v>
      </c>
      <c r="G8" s="413">
        <v>3726</v>
      </c>
      <c r="H8" s="413">
        <v>1093</v>
      </c>
      <c r="I8" s="413">
        <f>2173+854</f>
        <v>3027</v>
      </c>
      <c r="J8" s="413">
        <v>2134</v>
      </c>
    </row>
    <row r="9" spans="2:11" ht="14.25" thickTop="1" thickBot="1">
      <c r="B9" s="250">
        <v>2009</v>
      </c>
      <c r="C9" s="419">
        <f t="shared" si="0"/>
        <v>9642</v>
      </c>
      <c r="D9" s="413">
        <f>55+42+707</f>
        <v>804</v>
      </c>
      <c r="E9" s="413">
        <v>147</v>
      </c>
      <c r="F9" s="413">
        <v>293</v>
      </c>
      <c r="G9" s="413">
        <v>2831</v>
      </c>
      <c r="H9" s="413">
        <v>1381</v>
      </c>
      <c r="I9" s="413">
        <f>1653+908</f>
        <v>2561</v>
      </c>
      <c r="J9" s="413">
        <v>1625</v>
      </c>
    </row>
    <row r="10" spans="2:11" ht="14.25" thickTop="1" thickBot="1">
      <c r="B10" s="250">
        <v>2010</v>
      </c>
      <c r="C10" s="419">
        <f t="shared" si="0"/>
        <v>10722</v>
      </c>
      <c r="D10" s="413">
        <v>611</v>
      </c>
      <c r="E10" s="413">
        <v>620</v>
      </c>
      <c r="F10" s="413">
        <v>415</v>
      </c>
      <c r="G10" s="413">
        <v>3166</v>
      </c>
      <c r="H10" s="413">
        <v>1416</v>
      </c>
      <c r="I10" s="413">
        <v>2744</v>
      </c>
      <c r="J10" s="413">
        <v>1750</v>
      </c>
    </row>
    <row r="11" spans="2:11" ht="14.25" thickTop="1" thickBot="1">
      <c r="B11" s="250">
        <v>2011</v>
      </c>
      <c r="C11" s="419">
        <f t="shared" si="0"/>
        <v>10461</v>
      </c>
      <c r="D11" s="413">
        <v>639</v>
      </c>
      <c r="E11" s="413">
        <v>626</v>
      </c>
      <c r="F11" s="413">
        <v>280</v>
      </c>
      <c r="G11" s="413">
        <v>2943</v>
      </c>
      <c r="H11" s="413">
        <v>590</v>
      </c>
      <c r="I11" s="413">
        <v>3195</v>
      </c>
      <c r="J11" s="413">
        <v>2188</v>
      </c>
    </row>
    <row r="12" spans="2:11" ht="14.25" thickTop="1" thickBot="1">
      <c r="B12" s="250">
        <v>2012</v>
      </c>
      <c r="C12" s="419">
        <f t="shared" si="0"/>
        <v>9463</v>
      </c>
      <c r="D12" s="413">
        <v>413</v>
      </c>
      <c r="E12" s="413">
        <v>169</v>
      </c>
      <c r="F12" s="413">
        <v>244</v>
      </c>
      <c r="G12" s="413">
        <v>3240</v>
      </c>
      <c r="H12" s="413">
        <v>651</v>
      </c>
      <c r="I12" s="413">
        <v>3152</v>
      </c>
      <c r="J12" s="413">
        <v>1594</v>
      </c>
    </row>
    <row r="13" spans="2:11" ht="14.25" thickTop="1" thickBot="1">
      <c r="B13" s="250">
        <v>2013</v>
      </c>
      <c r="C13" s="419">
        <f t="shared" si="0"/>
        <v>10061</v>
      </c>
      <c r="D13" s="413">
        <v>519</v>
      </c>
      <c r="E13" s="413">
        <v>227</v>
      </c>
      <c r="F13" s="413">
        <v>186</v>
      </c>
      <c r="G13" s="413">
        <v>3418</v>
      </c>
      <c r="H13" s="413">
        <v>528</v>
      </c>
      <c r="I13" s="413">
        <v>4047</v>
      </c>
      <c r="J13" s="413">
        <v>1136</v>
      </c>
    </row>
    <row r="14" spans="2:11" ht="14.25" thickTop="1" thickBot="1">
      <c r="B14" s="253">
        <v>2014</v>
      </c>
      <c r="C14" s="419">
        <f t="shared" si="0"/>
        <v>9804</v>
      </c>
      <c r="D14" s="419">
        <v>339</v>
      </c>
      <c r="E14" s="419">
        <v>246</v>
      </c>
      <c r="F14" s="419">
        <v>271</v>
      </c>
      <c r="G14" s="419">
        <v>3585</v>
      </c>
      <c r="H14" s="419">
        <v>442</v>
      </c>
      <c r="I14" s="419">
        <v>3933</v>
      </c>
      <c r="J14" s="419">
        <v>988</v>
      </c>
    </row>
    <row r="15" spans="2:11" ht="14.25" thickTop="1" thickBot="1">
      <c r="B15" s="253">
        <v>2015</v>
      </c>
      <c r="C15" s="419">
        <f t="shared" si="0"/>
        <v>10867</v>
      </c>
      <c r="D15" s="419">
        <v>466</v>
      </c>
      <c r="E15" s="419">
        <v>386</v>
      </c>
      <c r="F15" s="419">
        <v>215</v>
      </c>
      <c r="G15" s="419">
        <v>3956</v>
      </c>
      <c r="H15" s="419">
        <v>102</v>
      </c>
      <c r="I15" s="419">
        <v>4814</v>
      </c>
      <c r="J15" s="419">
        <v>928</v>
      </c>
    </row>
    <row r="16" spans="2:11" ht="14.25" thickTop="1" thickBot="1">
      <c r="B16" s="253">
        <v>2016</v>
      </c>
      <c r="C16" s="419">
        <f t="shared" si="0"/>
        <v>11823</v>
      </c>
      <c r="D16" s="419">
        <v>452</v>
      </c>
      <c r="E16" s="419">
        <v>403</v>
      </c>
      <c r="F16" s="419">
        <v>175</v>
      </c>
      <c r="G16" s="419">
        <v>3953</v>
      </c>
      <c r="H16" s="419">
        <v>183</v>
      </c>
      <c r="I16" s="419">
        <v>5660</v>
      </c>
      <c r="J16" s="419">
        <v>997</v>
      </c>
    </row>
    <row r="17" spans="2:10" ht="14.25" thickTop="1" thickBot="1">
      <c r="B17" s="253">
        <v>2017</v>
      </c>
      <c r="C17" s="419">
        <f t="shared" si="0"/>
        <v>11155</v>
      </c>
      <c r="D17" s="419">
        <v>279</v>
      </c>
      <c r="E17" s="419">
        <v>334</v>
      </c>
      <c r="F17" s="419">
        <v>142</v>
      </c>
      <c r="G17" s="419">
        <v>3710</v>
      </c>
      <c r="H17" s="419">
        <v>59</v>
      </c>
      <c r="I17" s="419">
        <v>5319</v>
      </c>
      <c r="J17" s="419">
        <v>1312</v>
      </c>
    </row>
    <row r="18" spans="2:10" ht="13.5" thickTop="1">
      <c r="B18" s="253">
        <v>2018</v>
      </c>
      <c r="C18" s="419">
        <f>SUM(D18:J18)</f>
        <v>11461</v>
      </c>
      <c r="D18" s="419">
        <v>244</v>
      </c>
      <c r="E18" s="419">
        <v>174</v>
      </c>
      <c r="F18" s="419">
        <v>145</v>
      </c>
      <c r="G18" s="419">
        <v>3553</v>
      </c>
      <c r="H18" s="419">
        <v>131</v>
      </c>
      <c r="I18" s="419">
        <v>6055</v>
      </c>
      <c r="J18" s="419">
        <v>1159</v>
      </c>
    </row>
    <row r="19" spans="2:10" ht="15">
      <c r="B19" s="179"/>
      <c r="C19" s="178"/>
      <c r="D19" s="178"/>
      <c r="E19" s="178"/>
      <c r="F19" s="178"/>
      <c r="G19" s="178"/>
      <c r="H19" s="178"/>
      <c r="I19" s="178"/>
      <c r="J19" s="178"/>
    </row>
    <row r="20" spans="2:10" ht="13.5" thickBot="1">
      <c r="B20" s="567" t="s">
        <v>185</v>
      </c>
      <c r="C20" s="568"/>
      <c r="D20" s="568"/>
      <c r="E20" s="568"/>
      <c r="F20" s="568"/>
      <c r="G20" s="568"/>
      <c r="H20" s="568"/>
      <c r="I20" s="568"/>
      <c r="J20" s="568"/>
    </row>
    <row r="21" spans="2:10" ht="15" thickTop="1" thickBot="1">
      <c r="B21" s="569" t="s">
        <v>1092</v>
      </c>
      <c r="C21" s="479"/>
      <c r="D21" s="479"/>
      <c r="E21" s="479"/>
      <c r="F21" s="479"/>
      <c r="G21" s="479"/>
      <c r="H21" s="479"/>
      <c r="I21" s="479"/>
      <c r="J21" s="479"/>
    </row>
    <row r="22" spans="2:10" ht="12.75" customHeight="1" thickTop="1"/>
    <row r="23" spans="2:10" ht="13.5">
      <c r="B23" s="24"/>
      <c r="C23" s="130"/>
      <c r="D23" s="130"/>
      <c r="E23" s="130"/>
      <c r="F23" s="130"/>
      <c r="G23" s="131"/>
      <c r="H23" s="130"/>
      <c r="I23" s="131"/>
      <c r="J23" s="130"/>
    </row>
    <row r="24" spans="2:10" ht="12.75" customHeight="1"/>
    <row r="25" spans="2:10">
      <c r="C25" s="27"/>
      <c r="D25" s="27"/>
      <c r="E25" s="27"/>
      <c r="F25" s="27"/>
      <c r="G25" s="27"/>
      <c r="H25" s="27"/>
      <c r="I25" s="27"/>
      <c r="J25" s="27"/>
    </row>
    <row r="26" spans="2:10">
      <c r="C26" s="27"/>
      <c r="D26" s="132"/>
      <c r="E26" s="132"/>
      <c r="F26" s="132"/>
      <c r="G26" s="132"/>
      <c r="H26" s="132"/>
      <c r="I26" s="132"/>
      <c r="J26" s="132"/>
    </row>
    <row r="27" spans="2:10">
      <c r="C27" s="27"/>
      <c r="D27" s="67"/>
      <c r="E27" s="67"/>
      <c r="F27" s="67"/>
      <c r="G27" s="67"/>
      <c r="H27" s="67"/>
      <c r="I27" s="67"/>
      <c r="J27" s="67"/>
    </row>
    <row r="28" spans="2:10">
      <c r="C28" s="27"/>
      <c r="D28" s="67"/>
      <c r="E28" s="67"/>
      <c r="F28" s="67"/>
      <c r="G28" s="67"/>
      <c r="H28" s="67"/>
      <c r="I28" s="67"/>
      <c r="J28" s="67"/>
    </row>
    <row r="29" spans="2:10">
      <c r="C29" s="27"/>
      <c r="D29" s="67"/>
      <c r="E29" s="27"/>
      <c r="F29" s="27"/>
      <c r="G29" s="27"/>
      <c r="H29" s="27"/>
      <c r="I29" s="27"/>
      <c r="J29" s="27"/>
    </row>
    <row r="32" spans="2:10">
      <c r="J32" s="22">
        <v>2</v>
      </c>
    </row>
  </sheetData>
  <mergeCells count="4">
    <mergeCell ref="B2:J2"/>
    <mergeCell ref="B3:J3"/>
    <mergeCell ref="B20:J20"/>
    <mergeCell ref="B21:J21"/>
  </mergeCells>
  <hyperlinks>
    <hyperlink ref="B3:J3" location="'Capitulo 4'!B21" display="Número de BFV pagados por entidad autorizada. 2005-2018." xr:uid="{00000000-0004-0000-2500-000000000000}"/>
  </hyperlinks>
  <pageMargins left="0.7" right="0.7" top="0.75" bottom="0.75" header="0.3" footer="0.3"/>
  <pageSetup orientation="portrait" verticalDpi="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B2:K24"/>
  <sheetViews>
    <sheetView showGridLines="0" workbookViewId="0">
      <pane ySplit="4" topLeftCell="A5" activePane="bottomLeft" state="frozen"/>
      <selection pane="bottomLeft" activeCell="B3" sqref="B3:I3"/>
    </sheetView>
  </sheetViews>
  <sheetFormatPr baseColWidth="10" defaultRowHeight="12.75"/>
  <cols>
    <col min="1" max="2" width="11.42578125" style="22"/>
    <col min="3" max="3" width="12.85546875" style="22" bestFit="1" customWidth="1"/>
    <col min="4" max="5" width="15.42578125" style="22" bestFit="1" customWidth="1"/>
    <col min="6" max="7" width="14.140625" style="22" bestFit="1" customWidth="1"/>
    <col min="8" max="9" width="14.140625" style="22" customWidth="1"/>
    <col min="10" max="16384" width="11.42578125" style="22"/>
  </cols>
  <sheetData>
    <row r="2" spans="2:11" ht="15">
      <c r="B2" s="462" t="s">
        <v>317</v>
      </c>
      <c r="C2" s="462"/>
      <c r="D2" s="462"/>
      <c r="E2" s="462"/>
      <c r="F2" s="462"/>
      <c r="G2" s="462"/>
      <c r="H2" s="462"/>
      <c r="I2" s="462"/>
    </row>
    <row r="3" spans="2:11" ht="25.5" customHeight="1" thickBot="1">
      <c r="B3" s="482" t="s">
        <v>503</v>
      </c>
      <c r="C3" s="482"/>
      <c r="D3" s="482"/>
      <c r="E3" s="482"/>
      <c r="F3" s="482"/>
      <c r="G3" s="482"/>
      <c r="H3" s="482"/>
      <c r="I3" s="482"/>
    </row>
    <row r="4" spans="2:11" ht="23.25" customHeight="1" thickTop="1" thickBot="1">
      <c r="B4" s="327" t="s">
        <v>595</v>
      </c>
      <c r="C4" s="327" t="s">
        <v>4</v>
      </c>
      <c r="D4" s="327" t="s">
        <v>190</v>
      </c>
      <c r="E4" s="327" t="s">
        <v>191</v>
      </c>
      <c r="F4" s="327" t="s">
        <v>192</v>
      </c>
      <c r="G4" s="327" t="s">
        <v>193</v>
      </c>
      <c r="H4" s="327" t="s">
        <v>194</v>
      </c>
      <c r="I4" s="327" t="s">
        <v>274</v>
      </c>
    </row>
    <row r="5" spans="2:11" ht="14.25" thickTop="1" thickBot="1">
      <c r="B5" s="250">
        <v>2005</v>
      </c>
      <c r="C5" s="413">
        <f>SUM(D5:I5)</f>
        <v>9917</v>
      </c>
      <c r="D5" s="413">
        <v>7045</v>
      </c>
      <c r="E5" s="413">
        <v>2469</v>
      </c>
      <c r="F5" s="413">
        <v>356</v>
      </c>
      <c r="G5" s="413">
        <v>47</v>
      </c>
      <c r="H5" s="413">
        <v>0</v>
      </c>
      <c r="I5" s="413">
        <v>0</v>
      </c>
    </row>
    <row r="6" spans="2:11" ht="14.25" thickTop="1" thickBot="1">
      <c r="B6" s="250">
        <v>2006</v>
      </c>
      <c r="C6" s="413">
        <f t="shared" ref="C6:C18" si="0">SUM(D6:I6)</f>
        <v>8756</v>
      </c>
      <c r="D6" s="413">
        <v>5966</v>
      </c>
      <c r="E6" s="413">
        <v>2376</v>
      </c>
      <c r="F6" s="413">
        <v>359</v>
      </c>
      <c r="G6" s="413">
        <v>55</v>
      </c>
      <c r="H6" s="413">
        <v>0</v>
      </c>
      <c r="I6" s="413">
        <v>0</v>
      </c>
    </row>
    <row r="7" spans="2:11" ht="15" thickTop="1" thickBot="1">
      <c r="B7" s="250">
        <v>2007</v>
      </c>
      <c r="C7" s="413">
        <f t="shared" si="0"/>
        <v>11442</v>
      </c>
      <c r="D7" s="413">
        <v>7610</v>
      </c>
      <c r="E7" s="413">
        <v>3234</v>
      </c>
      <c r="F7" s="413">
        <v>514</v>
      </c>
      <c r="G7" s="413">
        <v>84</v>
      </c>
      <c r="H7" s="413">
        <v>0</v>
      </c>
      <c r="I7" s="413">
        <v>0</v>
      </c>
      <c r="K7" s="133"/>
    </row>
    <row r="8" spans="2:11" ht="15" thickTop="1" thickBot="1">
      <c r="B8" s="250">
        <v>2008</v>
      </c>
      <c r="C8" s="413">
        <f t="shared" si="0"/>
        <v>12714</v>
      </c>
      <c r="D8" s="413">
        <v>8876</v>
      </c>
      <c r="E8" s="413">
        <v>3197</v>
      </c>
      <c r="F8" s="413">
        <v>551</v>
      </c>
      <c r="G8" s="413">
        <v>90</v>
      </c>
      <c r="H8" s="413">
        <v>0</v>
      </c>
      <c r="I8" s="413">
        <v>0</v>
      </c>
      <c r="K8" s="133"/>
    </row>
    <row r="9" spans="2:11" ht="15" thickTop="1" thickBot="1">
      <c r="B9" s="250">
        <v>2009</v>
      </c>
      <c r="C9" s="413">
        <f t="shared" si="0"/>
        <v>9642</v>
      </c>
      <c r="D9" s="413">
        <v>7201</v>
      </c>
      <c r="E9" s="413">
        <v>2133</v>
      </c>
      <c r="F9" s="413">
        <v>276</v>
      </c>
      <c r="G9" s="413">
        <v>32</v>
      </c>
      <c r="H9" s="413">
        <v>0</v>
      </c>
      <c r="I9" s="413">
        <v>0</v>
      </c>
      <c r="K9" s="133"/>
    </row>
    <row r="10" spans="2:11" ht="15" thickTop="1" thickBot="1">
      <c r="B10" s="250">
        <v>2010</v>
      </c>
      <c r="C10" s="413">
        <f t="shared" si="0"/>
        <v>10722</v>
      </c>
      <c r="D10" s="413">
        <v>7883</v>
      </c>
      <c r="E10" s="413">
        <v>2438</v>
      </c>
      <c r="F10" s="413">
        <v>332</v>
      </c>
      <c r="G10" s="413">
        <v>69</v>
      </c>
      <c r="H10" s="413">
        <v>0</v>
      </c>
      <c r="I10" s="413">
        <v>0</v>
      </c>
      <c r="K10" s="133"/>
    </row>
    <row r="11" spans="2:11" ht="15" thickTop="1" thickBot="1">
      <c r="B11" s="250">
        <v>2011</v>
      </c>
      <c r="C11" s="413">
        <f t="shared" si="0"/>
        <v>10461</v>
      </c>
      <c r="D11" s="413">
        <v>7565</v>
      </c>
      <c r="E11" s="413">
        <v>2451</v>
      </c>
      <c r="F11" s="413">
        <v>392</v>
      </c>
      <c r="G11" s="413">
        <v>53</v>
      </c>
      <c r="H11" s="413">
        <v>0</v>
      </c>
      <c r="I11" s="413">
        <v>0</v>
      </c>
      <c r="K11" s="133"/>
    </row>
    <row r="12" spans="2:11" ht="15" thickTop="1" thickBot="1">
      <c r="B12" s="250">
        <v>2012</v>
      </c>
      <c r="C12" s="413">
        <f t="shared" si="0"/>
        <v>9463</v>
      </c>
      <c r="D12" s="413">
        <v>6743</v>
      </c>
      <c r="E12" s="413">
        <v>2313</v>
      </c>
      <c r="F12" s="413">
        <v>333</v>
      </c>
      <c r="G12" s="413">
        <v>67</v>
      </c>
      <c r="H12" s="413">
        <v>7</v>
      </c>
      <c r="I12" s="413">
        <v>0</v>
      </c>
      <c r="J12" s="134"/>
      <c r="K12" s="133"/>
    </row>
    <row r="13" spans="2:11" ht="15" thickTop="1" thickBot="1">
      <c r="B13" s="250">
        <v>2013</v>
      </c>
      <c r="C13" s="413">
        <f t="shared" si="0"/>
        <v>10061</v>
      </c>
      <c r="D13" s="413">
        <v>7064</v>
      </c>
      <c r="E13" s="413">
        <v>2472</v>
      </c>
      <c r="F13" s="413">
        <v>388</v>
      </c>
      <c r="G13" s="413">
        <v>80</v>
      </c>
      <c r="H13" s="413">
        <v>32</v>
      </c>
      <c r="I13" s="413">
        <v>25</v>
      </c>
      <c r="J13" s="134"/>
      <c r="K13" s="133"/>
    </row>
    <row r="14" spans="2:11" ht="15" thickTop="1" thickBot="1">
      <c r="B14" s="253">
        <v>2014</v>
      </c>
      <c r="C14" s="413">
        <f t="shared" si="0"/>
        <v>9804</v>
      </c>
      <c r="D14" s="413">
        <v>6678</v>
      </c>
      <c r="E14" s="413">
        <v>2522</v>
      </c>
      <c r="F14" s="413">
        <v>407</v>
      </c>
      <c r="G14" s="413">
        <v>125</v>
      </c>
      <c r="H14" s="413">
        <v>43</v>
      </c>
      <c r="I14" s="413">
        <v>29</v>
      </c>
      <c r="J14" s="134"/>
      <c r="K14" s="133"/>
    </row>
    <row r="15" spans="2:11" ht="15" thickTop="1" thickBot="1">
      <c r="B15" s="253">
        <v>2015</v>
      </c>
      <c r="C15" s="413">
        <f t="shared" si="0"/>
        <v>10867</v>
      </c>
      <c r="D15" s="413">
        <v>7620</v>
      </c>
      <c r="E15" s="413">
        <v>2671</v>
      </c>
      <c r="F15" s="413">
        <v>481</v>
      </c>
      <c r="G15" s="413">
        <v>76</v>
      </c>
      <c r="H15" s="413">
        <v>10</v>
      </c>
      <c r="I15" s="413">
        <v>9</v>
      </c>
      <c r="J15" s="134"/>
      <c r="K15" s="133"/>
    </row>
    <row r="16" spans="2:11" ht="15" thickTop="1" thickBot="1">
      <c r="B16" s="253">
        <v>2016</v>
      </c>
      <c r="C16" s="413">
        <f t="shared" si="0"/>
        <v>11823</v>
      </c>
      <c r="D16" s="413">
        <v>8343</v>
      </c>
      <c r="E16" s="413">
        <v>2901</v>
      </c>
      <c r="F16" s="413">
        <v>473</v>
      </c>
      <c r="G16" s="413">
        <v>83</v>
      </c>
      <c r="H16" s="413">
        <v>17</v>
      </c>
      <c r="I16" s="413">
        <v>6</v>
      </c>
      <c r="J16" s="134"/>
      <c r="K16" s="133"/>
    </row>
    <row r="17" spans="2:11" ht="15" thickTop="1" thickBot="1">
      <c r="B17" s="253">
        <v>2017</v>
      </c>
      <c r="C17" s="413">
        <f t="shared" si="0"/>
        <v>11155</v>
      </c>
      <c r="D17" s="413">
        <v>7990</v>
      </c>
      <c r="E17" s="413">
        <v>2680</v>
      </c>
      <c r="F17" s="413">
        <v>396</v>
      </c>
      <c r="G17" s="413">
        <v>75</v>
      </c>
      <c r="H17" s="413">
        <v>12</v>
      </c>
      <c r="I17" s="413">
        <v>2</v>
      </c>
      <c r="J17" s="134"/>
      <c r="K17" s="133"/>
    </row>
    <row r="18" spans="2:11" ht="15" thickTop="1" thickBot="1">
      <c r="B18" s="253">
        <v>2018</v>
      </c>
      <c r="C18" s="413">
        <f t="shared" si="0"/>
        <v>11461</v>
      </c>
      <c r="D18" s="413">
        <v>8129</v>
      </c>
      <c r="E18" s="413">
        <v>2847</v>
      </c>
      <c r="F18" s="413">
        <v>389</v>
      </c>
      <c r="G18" s="413">
        <v>84</v>
      </c>
      <c r="H18" s="413">
        <v>8</v>
      </c>
      <c r="I18" s="413">
        <v>4</v>
      </c>
      <c r="J18" s="134"/>
      <c r="K18" s="133"/>
    </row>
    <row r="19" spans="2:11" ht="16.5" thickTop="1" thickBot="1">
      <c r="B19" s="248"/>
      <c r="C19" s="339"/>
      <c r="D19" s="339"/>
      <c r="E19" s="339"/>
      <c r="F19" s="339"/>
      <c r="G19" s="339"/>
      <c r="H19" s="339"/>
      <c r="I19" s="339"/>
      <c r="J19" s="134"/>
      <c r="K19" s="133"/>
    </row>
    <row r="20" spans="2:11" ht="15" customHeight="1" thickTop="1" thickBot="1">
      <c r="B20" s="478" t="s">
        <v>185</v>
      </c>
      <c r="C20" s="479"/>
      <c r="D20" s="479"/>
      <c r="E20" s="479"/>
      <c r="F20" s="479"/>
      <c r="G20" s="479"/>
      <c r="H20" s="479"/>
      <c r="I20" s="479"/>
      <c r="K20" s="133"/>
    </row>
    <row r="21" spans="2:11" ht="13.5" thickTop="1"/>
    <row r="22" spans="2:11" ht="13.5">
      <c r="B22" s="24"/>
      <c r="C22" s="24"/>
      <c r="D22" s="24"/>
      <c r="E22" s="24"/>
      <c r="F22" s="24"/>
      <c r="G22" s="24"/>
      <c r="H22" s="24"/>
      <c r="I22" s="24"/>
    </row>
    <row r="23" spans="2:11" ht="13.5">
      <c r="B23" s="24"/>
      <c r="C23" s="146"/>
      <c r="D23" s="171"/>
      <c r="E23" s="171"/>
      <c r="F23" s="171"/>
      <c r="G23" s="171"/>
      <c r="H23" s="171"/>
      <c r="I23" s="171"/>
    </row>
    <row r="24" spans="2:11">
      <c r="D24" s="67"/>
      <c r="E24" s="67"/>
      <c r="F24" s="67"/>
      <c r="G24" s="67"/>
      <c r="H24" s="67"/>
      <c r="I24" s="67"/>
      <c r="J24" s="136"/>
    </row>
  </sheetData>
  <mergeCells count="3">
    <mergeCell ref="B2:I2"/>
    <mergeCell ref="B3:I3"/>
    <mergeCell ref="B20:I20"/>
  </mergeCells>
  <hyperlinks>
    <hyperlink ref="B3:I3" location="'Capitulo 4'!B22" display="Número de BFV pagados por estrato. 2005-2018." xr:uid="{00000000-0004-0000-2600-000000000000}"/>
  </hyperlinks>
  <pageMargins left="0.7" right="0.7" top="0.75" bottom="0.75" header="0.3" footer="0.3"/>
  <pageSetup orientation="portrait" verticalDpi="0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B2:K50"/>
  <sheetViews>
    <sheetView showGridLines="0" topLeftCell="B1" zoomScaleNormal="100" workbookViewId="0">
      <pane ySplit="4" topLeftCell="A5" activePane="bottomLeft" state="frozen"/>
      <selection pane="bottomLeft" activeCell="B3" sqref="B3:I3"/>
    </sheetView>
  </sheetViews>
  <sheetFormatPr baseColWidth="10" defaultRowHeight="12.75"/>
  <cols>
    <col min="1" max="2" width="11.42578125" style="22"/>
    <col min="3" max="3" width="12.85546875" style="22" bestFit="1" customWidth="1"/>
    <col min="4" max="4" width="13.5703125" style="22" bestFit="1" customWidth="1"/>
    <col min="5" max="5" width="19.140625" style="22" customWidth="1"/>
    <col min="6" max="6" width="15.7109375" style="22" customWidth="1"/>
    <col min="7" max="7" width="17.140625" style="22" customWidth="1"/>
    <col min="8" max="8" width="14.140625" style="22" bestFit="1" customWidth="1"/>
    <col min="9" max="9" width="12.85546875" style="22" bestFit="1" customWidth="1"/>
    <col min="10" max="10" width="13.28515625" style="22" bestFit="1" customWidth="1"/>
    <col min="11" max="16384" width="11.42578125" style="22"/>
  </cols>
  <sheetData>
    <row r="2" spans="2:11" ht="15.75" customHeight="1">
      <c r="B2" s="462" t="s">
        <v>318</v>
      </c>
      <c r="C2" s="462"/>
      <c r="D2" s="462"/>
      <c r="E2" s="462"/>
      <c r="F2" s="462"/>
      <c r="G2" s="462"/>
      <c r="H2" s="462"/>
      <c r="I2" s="462"/>
    </row>
    <row r="3" spans="2:11" ht="22.5" customHeight="1" thickBot="1">
      <c r="B3" s="482" t="s">
        <v>504</v>
      </c>
      <c r="C3" s="482"/>
      <c r="D3" s="482"/>
      <c r="E3" s="482"/>
      <c r="F3" s="482"/>
      <c r="G3" s="482"/>
      <c r="H3" s="482"/>
      <c r="I3" s="482"/>
    </row>
    <row r="4" spans="2:11" ht="67.5" customHeight="1" thickTop="1" thickBot="1">
      <c r="B4" s="327" t="s">
        <v>10</v>
      </c>
      <c r="C4" s="327" t="s">
        <v>4</v>
      </c>
      <c r="D4" s="327" t="s">
        <v>321</v>
      </c>
      <c r="E4" s="327" t="s">
        <v>195</v>
      </c>
      <c r="F4" s="327" t="s">
        <v>322</v>
      </c>
      <c r="G4" s="327" t="s">
        <v>323</v>
      </c>
      <c r="H4" s="327" t="s">
        <v>462</v>
      </c>
      <c r="I4" s="327" t="s">
        <v>196</v>
      </c>
    </row>
    <row r="5" spans="2:11" ht="14.25" thickTop="1" thickBot="1">
      <c r="B5" s="250">
        <v>2005</v>
      </c>
      <c r="C5" s="413">
        <f t="shared" ref="C5:C18" si="0">SUM(D5:I5)</f>
        <v>9917</v>
      </c>
      <c r="D5" s="413">
        <v>397</v>
      </c>
      <c r="E5" s="413">
        <v>749</v>
      </c>
      <c r="F5" s="413">
        <v>892</v>
      </c>
      <c r="G5" s="413">
        <v>442</v>
      </c>
      <c r="H5" s="413">
        <v>7263</v>
      </c>
      <c r="I5" s="413">
        <v>174</v>
      </c>
      <c r="J5" s="137"/>
    </row>
    <row r="6" spans="2:11" ht="14.25" thickTop="1" thickBot="1">
      <c r="B6" s="250">
        <v>2006</v>
      </c>
      <c r="C6" s="413">
        <f t="shared" si="0"/>
        <v>8756</v>
      </c>
      <c r="D6" s="413">
        <v>606</v>
      </c>
      <c r="E6" s="413">
        <v>591</v>
      </c>
      <c r="F6" s="413">
        <v>973</v>
      </c>
      <c r="G6" s="413">
        <v>149</v>
      </c>
      <c r="H6" s="413">
        <v>6282</v>
      </c>
      <c r="I6" s="413">
        <v>155</v>
      </c>
      <c r="J6" s="137"/>
      <c r="K6" s="137"/>
    </row>
    <row r="7" spans="2:11" ht="14.25" thickTop="1" thickBot="1">
      <c r="B7" s="250">
        <v>2007</v>
      </c>
      <c r="C7" s="413">
        <f t="shared" si="0"/>
        <v>11442</v>
      </c>
      <c r="D7" s="413">
        <v>535</v>
      </c>
      <c r="E7" s="413">
        <v>589</v>
      </c>
      <c r="F7" s="413">
        <v>468</v>
      </c>
      <c r="G7" s="413">
        <v>182</v>
      </c>
      <c r="H7" s="413">
        <v>9519</v>
      </c>
      <c r="I7" s="413">
        <v>149</v>
      </c>
      <c r="J7" s="137"/>
      <c r="K7" s="137"/>
    </row>
    <row r="8" spans="2:11" ht="14.25" thickTop="1" thickBot="1">
      <c r="B8" s="250">
        <v>2008</v>
      </c>
      <c r="C8" s="413">
        <f t="shared" si="0"/>
        <v>12714</v>
      </c>
      <c r="D8" s="413">
        <v>425</v>
      </c>
      <c r="E8" s="413">
        <v>560</v>
      </c>
      <c r="F8" s="413">
        <v>1189</v>
      </c>
      <c r="G8" s="413">
        <v>183</v>
      </c>
      <c r="H8" s="413">
        <v>10229</v>
      </c>
      <c r="I8" s="413">
        <v>128</v>
      </c>
      <c r="J8" s="137"/>
      <c r="K8" s="137"/>
    </row>
    <row r="9" spans="2:11" ht="14.25" thickTop="1" thickBot="1">
      <c r="B9" s="250">
        <v>2009</v>
      </c>
      <c r="C9" s="413">
        <f t="shared" si="0"/>
        <v>9642</v>
      </c>
      <c r="D9" s="413">
        <v>94</v>
      </c>
      <c r="E9" s="413">
        <v>414</v>
      </c>
      <c r="F9" s="413">
        <f>1696+741</f>
        <v>2437</v>
      </c>
      <c r="G9" s="413">
        <f>1449+99</f>
        <v>1548</v>
      </c>
      <c r="H9" s="413">
        <v>4941</v>
      </c>
      <c r="I9" s="413">
        <v>208</v>
      </c>
      <c r="J9" s="137"/>
      <c r="K9" s="137"/>
    </row>
    <row r="10" spans="2:11" ht="14.25" thickTop="1" thickBot="1">
      <c r="B10" s="250">
        <v>2010</v>
      </c>
      <c r="C10" s="413">
        <f t="shared" si="0"/>
        <v>10722</v>
      </c>
      <c r="D10" s="413">
        <v>76</v>
      </c>
      <c r="E10" s="413">
        <v>383</v>
      </c>
      <c r="F10" s="413">
        <v>3224</v>
      </c>
      <c r="G10" s="413">
        <v>1663</v>
      </c>
      <c r="H10" s="413">
        <v>5052</v>
      </c>
      <c r="I10" s="413">
        <v>324</v>
      </c>
      <c r="J10" s="137"/>
      <c r="K10" s="137"/>
    </row>
    <row r="11" spans="2:11" ht="14.25" thickTop="1" thickBot="1">
      <c r="B11" s="250">
        <v>2011</v>
      </c>
      <c r="C11" s="413">
        <f t="shared" si="0"/>
        <v>10461</v>
      </c>
      <c r="D11" s="413">
        <v>44</v>
      </c>
      <c r="E11" s="413">
        <v>323</v>
      </c>
      <c r="F11" s="413">
        <v>2625</v>
      </c>
      <c r="G11" s="413">
        <v>1913</v>
      </c>
      <c r="H11" s="413">
        <v>5276</v>
      </c>
      <c r="I11" s="413">
        <v>280</v>
      </c>
      <c r="J11" s="137"/>
      <c r="K11" s="137"/>
    </row>
    <row r="12" spans="2:11" ht="14.25" thickTop="1" thickBot="1">
      <c r="B12" s="250">
        <v>2012</v>
      </c>
      <c r="C12" s="413">
        <f t="shared" si="0"/>
        <v>9463</v>
      </c>
      <c r="D12" s="413">
        <v>79</v>
      </c>
      <c r="E12" s="413">
        <v>277</v>
      </c>
      <c r="F12" s="413">
        <f>1762+792</f>
        <v>2554</v>
      </c>
      <c r="G12" s="413">
        <v>1669</v>
      </c>
      <c r="H12" s="413">
        <v>4655</v>
      </c>
      <c r="I12" s="413">
        <v>229</v>
      </c>
      <c r="J12" s="137"/>
      <c r="K12" s="137"/>
    </row>
    <row r="13" spans="2:11" ht="14.25" thickTop="1" thickBot="1">
      <c r="B13" s="250">
        <v>2013</v>
      </c>
      <c r="C13" s="413">
        <f t="shared" si="0"/>
        <v>10061</v>
      </c>
      <c r="D13" s="413">
        <v>56</v>
      </c>
      <c r="E13" s="413">
        <v>286</v>
      </c>
      <c r="F13" s="413">
        <f>1551+648</f>
        <v>2199</v>
      </c>
      <c r="G13" s="413">
        <v>1665</v>
      </c>
      <c r="H13" s="413">
        <v>5533</v>
      </c>
      <c r="I13" s="413">
        <v>322</v>
      </c>
      <c r="J13" s="137"/>
      <c r="K13" s="137"/>
    </row>
    <row r="14" spans="2:11" ht="14.25" thickTop="1" thickBot="1">
      <c r="B14" s="250">
        <v>2014</v>
      </c>
      <c r="C14" s="413">
        <f t="shared" si="0"/>
        <v>9804</v>
      </c>
      <c r="D14" s="413">
        <v>60</v>
      </c>
      <c r="E14" s="413">
        <v>352</v>
      </c>
      <c r="F14" s="413">
        <f>1183+313</f>
        <v>1496</v>
      </c>
      <c r="G14" s="413">
        <v>1755</v>
      </c>
      <c r="H14" s="413">
        <f>5754+3</f>
        <v>5757</v>
      </c>
      <c r="I14" s="413">
        <v>384</v>
      </c>
      <c r="J14" s="137"/>
      <c r="K14" s="137"/>
    </row>
    <row r="15" spans="2:11" ht="14.25" thickTop="1" thickBot="1">
      <c r="B15" s="250">
        <v>2015</v>
      </c>
      <c r="C15" s="413">
        <f t="shared" si="0"/>
        <v>10867</v>
      </c>
      <c r="D15" s="413">
        <v>117</v>
      </c>
      <c r="E15" s="413">
        <v>342</v>
      </c>
      <c r="F15" s="413">
        <v>1522</v>
      </c>
      <c r="G15" s="413">
        <v>1840</v>
      </c>
      <c r="H15" s="413">
        <v>6639</v>
      </c>
      <c r="I15" s="413">
        <v>407</v>
      </c>
      <c r="J15" s="137"/>
      <c r="K15" s="137"/>
    </row>
    <row r="16" spans="2:11" ht="14.25" thickTop="1" thickBot="1">
      <c r="B16" s="250">
        <v>2016</v>
      </c>
      <c r="C16" s="413">
        <f t="shared" si="0"/>
        <v>11823</v>
      </c>
      <c r="D16" s="413">
        <v>407</v>
      </c>
      <c r="E16" s="413">
        <v>413</v>
      </c>
      <c r="F16" s="413">
        <v>1698</v>
      </c>
      <c r="G16" s="413">
        <v>2020</v>
      </c>
      <c r="H16" s="413">
        <v>6734</v>
      </c>
      <c r="I16" s="413">
        <v>551</v>
      </c>
      <c r="J16" s="137"/>
    </row>
    <row r="17" spans="2:10" ht="14.25" thickTop="1" thickBot="1">
      <c r="B17" s="250">
        <v>2017</v>
      </c>
      <c r="C17" s="413">
        <f t="shared" si="0"/>
        <v>11155</v>
      </c>
      <c r="D17" s="413">
        <v>299</v>
      </c>
      <c r="E17" s="413">
        <v>316</v>
      </c>
      <c r="F17" s="413">
        <v>1866</v>
      </c>
      <c r="G17" s="413">
        <v>1861</v>
      </c>
      <c r="H17" s="413">
        <v>6229</v>
      </c>
      <c r="I17" s="413">
        <v>584</v>
      </c>
      <c r="J17" s="137"/>
    </row>
    <row r="18" spans="2:10" ht="14.25" thickTop="1" thickBot="1">
      <c r="B18" s="250">
        <v>2018</v>
      </c>
      <c r="C18" s="413">
        <f t="shared" si="0"/>
        <v>11461</v>
      </c>
      <c r="D18" s="413">
        <v>378</v>
      </c>
      <c r="E18" s="413">
        <v>319</v>
      </c>
      <c r="F18" s="413">
        <f>1892+320</f>
        <v>2212</v>
      </c>
      <c r="G18" s="413">
        <f>59+1619</f>
        <v>1678</v>
      </c>
      <c r="H18" s="413">
        <v>6267</v>
      </c>
      <c r="I18" s="413">
        <v>607</v>
      </c>
      <c r="J18" s="137"/>
    </row>
    <row r="19" spans="2:10" ht="14.25" thickTop="1" thickBot="1">
      <c r="B19" s="329"/>
      <c r="C19" s="340"/>
      <c r="D19" s="340"/>
      <c r="E19" s="329"/>
      <c r="F19" s="329"/>
      <c r="G19" s="329"/>
      <c r="H19" s="329"/>
      <c r="I19" s="329"/>
    </row>
    <row r="20" spans="2:10" ht="14.25" thickTop="1" thickBot="1">
      <c r="B20" s="466" t="s">
        <v>185</v>
      </c>
      <c r="C20" s="467"/>
      <c r="D20" s="467"/>
      <c r="E20" s="467"/>
      <c r="F20" s="467"/>
      <c r="G20" s="467"/>
      <c r="H20" s="467"/>
      <c r="I20" s="467"/>
    </row>
    <row r="21" spans="2:10" ht="14.25" thickTop="1">
      <c r="B21" s="135"/>
      <c r="C21" s="175"/>
      <c r="D21" s="138"/>
      <c r="E21" s="138"/>
      <c r="F21" s="138"/>
      <c r="G21" s="138"/>
      <c r="H21" s="138"/>
      <c r="I21" s="138"/>
    </row>
    <row r="22" spans="2:10" ht="15">
      <c r="B22" s="24"/>
      <c r="C22" s="24"/>
      <c r="D22" s="46"/>
      <c r="E22" s="46"/>
      <c r="F22" s="46"/>
      <c r="G22" s="46"/>
      <c r="H22" s="46"/>
      <c r="I22" s="46"/>
      <c r="J22" s="136"/>
    </row>
    <row r="23" spans="2:10" ht="13.5">
      <c r="B23" s="24"/>
      <c r="C23" s="24"/>
      <c r="D23" s="201"/>
      <c r="E23" s="24"/>
      <c r="F23" s="24"/>
      <c r="G23" s="24"/>
      <c r="H23" s="24"/>
      <c r="I23" s="24"/>
    </row>
    <row r="24" spans="2:10" ht="13.5">
      <c r="B24" s="24"/>
      <c r="C24" s="24"/>
      <c r="D24" s="24"/>
      <c r="E24" s="24"/>
      <c r="F24" s="24"/>
      <c r="G24" s="24"/>
      <c r="H24" s="24"/>
      <c r="I24" s="24"/>
    </row>
    <row r="25" spans="2:10" ht="13.5">
      <c r="B25" s="24"/>
      <c r="C25" s="24"/>
      <c r="D25" s="24"/>
      <c r="E25" s="24"/>
      <c r="F25" s="24"/>
      <c r="G25" s="24"/>
      <c r="H25" s="24"/>
      <c r="I25" s="24"/>
    </row>
    <row r="26" spans="2:10" ht="13.5">
      <c r="B26" s="24"/>
      <c r="C26" s="24"/>
      <c r="D26" s="24"/>
      <c r="E26" s="24"/>
      <c r="F26" s="24"/>
      <c r="G26" s="24"/>
      <c r="H26" s="24"/>
      <c r="I26" s="24"/>
    </row>
    <row r="27" spans="2:10" ht="13.5">
      <c r="B27" s="24"/>
      <c r="C27" s="24"/>
      <c r="D27" s="24"/>
      <c r="E27" s="24"/>
      <c r="F27" s="24"/>
      <c r="G27" s="24"/>
      <c r="H27" s="24"/>
      <c r="I27" s="24"/>
    </row>
    <row r="28" spans="2:10" ht="13.5">
      <c r="B28" s="24"/>
      <c r="C28" s="24"/>
      <c r="D28" s="24"/>
      <c r="E28" s="24"/>
      <c r="F28" s="24"/>
      <c r="G28" s="24"/>
      <c r="H28" s="24"/>
      <c r="I28" s="24"/>
    </row>
    <row r="29" spans="2:10" ht="13.5">
      <c r="B29" s="24"/>
      <c r="C29" s="24"/>
      <c r="D29" s="24"/>
      <c r="E29" s="24"/>
      <c r="F29" s="24"/>
      <c r="G29" s="24"/>
      <c r="H29" s="24"/>
      <c r="I29" s="24"/>
    </row>
    <row r="30" spans="2:10" ht="13.5">
      <c r="B30" s="24"/>
      <c r="C30" s="24"/>
      <c r="D30" s="24"/>
      <c r="E30" s="24"/>
      <c r="F30" s="24"/>
      <c r="G30" s="24"/>
      <c r="H30" s="24"/>
      <c r="I30" s="24"/>
    </row>
    <row r="31" spans="2:10" ht="13.5">
      <c r="B31" s="24"/>
      <c r="C31" s="24"/>
      <c r="D31" s="24"/>
      <c r="E31" s="24"/>
      <c r="F31" s="24"/>
      <c r="G31" s="24"/>
      <c r="H31" s="24"/>
      <c r="I31" s="24"/>
    </row>
    <row r="32" spans="2:10" ht="13.5">
      <c r="B32" s="24"/>
      <c r="C32" s="24"/>
      <c r="D32" s="24"/>
      <c r="E32" s="24"/>
      <c r="F32" s="24"/>
      <c r="G32" s="24"/>
      <c r="H32" s="24"/>
      <c r="I32" s="24"/>
    </row>
    <row r="33" spans="2:9" ht="13.5">
      <c r="B33" s="24"/>
      <c r="C33" s="24"/>
      <c r="D33" s="24"/>
      <c r="E33" s="24"/>
      <c r="F33" s="24"/>
      <c r="G33" s="24"/>
      <c r="H33" s="24"/>
      <c r="I33" s="24"/>
    </row>
    <row r="34" spans="2:9" ht="13.5">
      <c r="B34" s="24"/>
      <c r="C34" s="24"/>
      <c r="D34" s="24"/>
      <c r="E34" s="24"/>
      <c r="F34" s="24"/>
      <c r="G34" s="24"/>
      <c r="H34" s="24"/>
      <c r="I34" s="24"/>
    </row>
    <row r="35" spans="2:9" ht="13.5">
      <c r="B35" s="24"/>
      <c r="C35" s="24"/>
      <c r="D35" s="24"/>
      <c r="E35" s="24"/>
      <c r="F35" s="24"/>
      <c r="G35" s="24"/>
      <c r="H35" s="24"/>
      <c r="I35" s="24"/>
    </row>
    <row r="36" spans="2:9" ht="13.5">
      <c r="B36" s="24"/>
      <c r="C36" s="24"/>
      <c r="D36" s="24"/>
      <c r="E36" s="24"/>
      <c r="F36" s="24"/>
      <c r="G36" s="24"/>
      <c r="H36" s="24"/>
      <c r="I36" s="24"/>
    </row>
    <row r="37" spans="2:9" ht="13.5">
      <c r="B37" s="24"/>
      <c r="C37" s="24"/>
      <c r="D37" s="24"/>
      <c r="E37" s="24"/>
      <c r="F37" s="24"/>
      <c r="G37" s="24"/>
      <c r="H37" s="24"/>
      <c r="I37" s="24"/>
    </row>
    <row r="38" spans="2:9" ht="13.5">
      <c r="B38" s="24"/>
      <c r="C38" s="24"/>
      <c r="D38" s="24"/>
      <c r="E38" s="24"/>
      <c r="F38" s="24"/>
      <c r="G38" s="24"/>
      <c r="H38" s="24"/>
      <c r="I38" s="24"/>
    </row>
    <row r="39" spans="2:9" ht="13.5">
      <c r="B39" s="24"/>
      <c r="C39" s="24"/>
      <c r="D39" s="24"/>
      <c r="E39" s="24"/>
      <c r="F39" s="24"/>
      <c r="G39" s="24"/>
      <c r="H39" s="24"/>
      <c r="I39" s="24"/>
    </row>
    <row r="40" spans="2:9" ht="13.5">
      <c r="B40" s="24"/>
      <c r="C40" s="24"/>
      <c r="D40" s="24"/>
      <c r="E40" s="24"/>
      <c r="F40" s="24"/>
      <c r="G40" s="24"/>
      <c r="H40" s="24"/>
      <c r="I40" s="24"/>
    </row>
    <row r="41" spans="2:9" ht="13.5">
      <c r="B41" s="24"/>
      <c r="C41" s="24"/>
      <c r="D41" s="24"/>
      <c r="E41" s="24"/>
      <c r="F41" s="24"/>
      <c r="G41" s="24"/>
      <c r="H41" s="24"/>
      <c r="I41" s="24"/>
    </row>
    <row r="42" spans="2:9" ht="13.5">
      <c r="B42" s="24"/>
      <c r="C42" s="24"/>
      <c r="D42" s="24"/>
      <c r="E42" s="24"/>
      <c r="F42" s="24"/>
      <c r="G42" s="24"/>
      <c r="H42" s="24"/>
      <c r="I42" s="24"/>
    </row>
    <row r="43" spans="2:9" ht="13.5">
      <c r="B43" s="24"/>
      <c r="C43" s="24"/>
      <c r="D43" s="24"/>
      <c r="E43" s="24"/>
      <c r="F43" s="24"/>
      <c r="G43" s="24"/>
      <c r="H43" s="24"/>
      <c r="I43" s="24"/>
    </row>
    <row r="44" spans="2:9" ht="13.5">
      <c r="B44" s="24"/>
      <c r="C44" s="24"/>
      <c r="D44" s="24"/>
      <c r="E44" s="24"/>
      <c r="F44" s="24"/>
      <c r="G44" s="24"/>
      <c r="H44" s="24"/>
      <c r="I44" s="24"/>
    </row>
    <row r="45" spans="2:9" ht="13.5">
      <c r="B45" s="24"/>
      <c r="C45" s="24"/>
      <c r="D45" s="24"/>
      <c r="E45" s="24"/>
      <c r="F45" s="24"/>
      <c r="G45" s="24"/>
      <c r="H45" s="24"/>
      <c r="I45" s="24"/>
    </row>
    <row r="46" spans="2:9" ht="13.5">
      <c r="B46" s="24"/>
      <c r="C46" s="24"/>
      <c r="D46" s="24"/>
      <c r="E46" s="24"/>
      <c r="F46" s="24"/>
      <c r="G46" s="24"/>
      <c r="H46" s="24"/>
      <c r="I46" s="24"/>
    </row>
    <row r="47" spans="2:9" ht="13.5">
      <c r="B47" s="24"/>
      <c r="C47" s="24"/>
      <c r="D47" s="24"/>
      <c r="E47" s="24"/>
      <c r="F47" s="24"/>
      <c r="G47" s="24"/>
      <c r="H47" s="24"/>
      <c r="I47" s="24"/>
    </row>
    <row r="48" spans="2:9" ht="13.5">
      <c r="B48" s="24"/>
      <c r="C48" s="24"/>
      <c r="D48" s="24"/>
      <c r="E48" s="24"/>
      <c r="F48" s="24"/>
      <c r="G48" s="24"/>
      <c r="H48" s="24"/>
      <c r="I48" s="24"/>
    </row>
    <row r="49" spans="2:9" ht="13.5">
      <c r="B49" s="24"/>
      <c r="C49" s="24"/>
      <c r="D49" s="24"/>
      <c r="E49" s="24"/>
      <c r="F49" s="24"/>
      <c r="G49" s="24"/>
      <c r="H49" s="24"/>
      <c r="I49" s="24"/>
    </row>
    <row r="50" spans="2:9" ht="13.5">
      <c r="B50" s="24"/>
      <c r="C50" s="24"/>
      <c r="D50" s="24"/>
      <c r="E50" s="24"/>
      <c r="F50" s="24"/>
      <c r="G50" s="24"/>
      <c r="H50" s="24"/>
      <c r="I50" s="24"/>
    </row>
  </sheetData>
  <mergeCells count="3">
    <mergeCell ref="B2:I2"/>
    <mergeCell ref="B3:I3"/>
    <mergeCell ref="B20:I20"/>
  </mergeCells>
  <hyperlinks>
    <hyperlink ref="B3:I3" location="'Capitulo 4'!B23" display="Número de BFV pagados por modalidad de presupuesto. 2005-2018." xr:uid="{00000000-0004-0000-2700-000000000000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K46"/>
  <sheetViews>
    <sheetView showGridLines="0" zoomScale="130" zoomScaleNormal="130" workbookViewId="0">
      <pane ySplit="6" topLeftCell="A7" activePane="bottomLeft" state="frozen"/>
      <selection pane="bottomLeft" activeCell="O3" sqref="O3"/>
    </sheetView>
  </sheetViews>
  <sheetFormatPr baseColWidth="10" defaultRowHeight="12.75"/>
  <cols>
    <col min="2" max="2" width="15.7109375" style="3" customWidth="1"/>
    <col min="3" max="3" width="18.7109375" style="3" customWidth="1"/>
    <col min="4" max="4" width="15.85546875" style="3" customWidth="1"/>
    <col min="5" max="5" width="18.85546875" style="3" customWidth="1"/>
    <col min="6" max="6" width="17.7109375" style="3" customWidth="1"/>
    <col min="7" max="7" width="23.42578125" style="3" bestFit="1" customWidth="1"/>
    <col min="8" max="11" width="11.42578125" style="3" customWidth="1"/>
  </cols>
  <sheetData>
    <row r="1" spans="2:11" ht="19.5">
      <c r="B1" s="11"/>
      <c r="C1" s="1"/>
      <c r="D1" s="1"/>
      <c r="E1" s="1"/>
      <c r="F1" s="1"/>
      <c r="G1" s="1"/>
    </row>
    <row r="2" spans="2:11" ht="15">
      <c r="B2" s="462" t="s">
        <v>1</v>
      </c>
      <c r="C2" s="462"/>
      <c r="D2" s="462"/>
      <c r="E2" s="462"/>
      <c r="F2" s="462"/>
      <c r="G2" s="462"/>
      <c r="H2"/>
      <c r="I2"/>
      <c r="J2"/>
      <c r="K2"/>
    </row>
    <row r="3" spans="2:11" ht="35.25" customHeight="1">
      <c r="B3" s="464" t="s">
        <v>477</v>
      </c>
      <c r="C3" s="465"/>
      <c r="D3" s="465"/>
      <c r="E3" s="465"/>
      <c r="F3" s="465"/>
      <c r="G3" s="465"/>
      <c r="H3"/>
      <c r="I3"/>
      <c r="J3"/>
      <c r="K3"/>
    </row>
    <row r="4" spans="2:11" ht="16.5" customHeight="1" thickBot="1">
      <c r="B4" s="463"/>
      <c r="C4" s="463"/>
      <c r="D4" s="463"/>
      <c r="E4" s="463"/>
      <c r="F4" s="463"/>
      <c r="G4" s="463"/>
      <c r="H4"/>
      <c r="I4"/>
      <c r="J4"/>
      <c r="K4"/>
    </row>
    <row r="5" spans="2:11" ht="19.5" customHeight="1" thickTop="1" thickBot="1">
      <c r="B5" s="459" t="s">
        <v>3</v>
      </c>
      <c r="C5" s="460"/>
      <c r="D5" s="460"/>
      <c r="E5" s="460"/>
      <c r="F5" s="460"/>
      <c r="G5" s="461"/>
      <c r="H5"/>
      <c r="I5"/>
      <c r="J5"/>
      <c r="K5"/>
    </row>
    <row r="6" spans="2:11" ht="78.75" customHeight="1" thickTop="1" thickBot="1">
      <c r="B6" s="309" t="s">
        <v>10</v>
      </c>
      <c r="C6" s="314" t="s">
        <v>7</v>
      </c>
      <c r="D6" s="314" t="s">
        <v>288</v>
      </c>
      <c r="E6" s="314" t="s">
        <v>8</v>
      </c>
      <c r="F6" s="314" t="s">
        <v>289</v>
      </c>
      <c r="G6" s="314" t="s">
        <v>9</v>
      </c>
      <c r="H6"/>
      <c r="I6"/>
      <c r="J6"/>
      <c r="K6"/>
    </row>
    <row r="7" spans="2:11" ht="14.25" thickTop="1" thickBot="1">
      <c r="B7" s="250">
        <v>2015</v>
      </c>
      <c r="C7" s="411">
        <v>2087363</v>
      </c>
      <c r="D7" s="251" t="s">
        <v>156</v>
      </c>
      <c r="E7" s="413">
        <v>143058</v>
      </c>
      <c r="F7" s="251" t="s">
        <v>156</v>
      </c>
      <c r="G7" s="251">
        <f>+E7/C7</f>
        <v>6.8535276327117034E-2</v>
      </c>
      <c r="H7"/>
      <c r="I7"/>
      <c r="J7"/>
      <c r="K7"/>
    </row>
    <row r="8" spans="2:11" ht="14.25" thickTop="1" thickBot="1">
      <c r="B8" s="253">
        <v>2016</v>
      </c>
      <c r="C8" s="411">
        <v>1954756</v>
      </c>
      <c r="D8" s="251">
        <f>+(C8-C7)/C7</f>
        <v>-6.3528480671545873E-2</v>
      </c>
      <c r="E8" s="413">
        <v>133581</v>
      </c>
      <c r="F8" s="251">
        <f>+(E8-E7)/E7</f>
        <v>-6.6245858323197584E-2</v>
      </c>
      <c r="G8" s="251">
        <f>+E8/C8</f>
        <v>6.833640618061794E-2</v>
      </c>
      <c r="H8"/>
      <c r="I8"/>
      <c r="J8"/>
      <c r="K8"/>
    </row>
    <row r="9" spans="2:11" ht="14.25" thickTop="1" thickBot="1">
      <c r="B9" s="254">
        <v>2017</v>
      </c>
      <c r="C9" s="412">
        <v>2079840</v>
      </c>
      <c r="D9" s="251">
        <f>+(C9-C8)/C8</f>
        <v>6.3989572100047271E-2</v>
      </c>
      <c r="E9" s="412">
        <v>125889</v>
      </c>
      <c r="F9" s="251">
        <f>+(E9-E8)/E8</f>
        <v>-5.7583039504121095E-2</v>
      </c>
      <c r="G9" s="251">
        <f>+E9/C9</f>
        <v>6.0528213708746829E-2</v>
      </c>
      <c r="H9"/>
      <c r="I9"/>
      <c r="J9"/>
      <c r="K9"/>
    </row>
    <row r="10" spans="2:11" ht="13.5" thickTop="1">
      <c r="B10" s="254">
        <v>2018</v>
      </c>
      <c r="C10" s="412">
        <v>2160036</v>
      </c>
      <c r="D10" s="251">
        <f>+(C10-C9)/C9</f>
        <v>3.8558735287329796E-2</v>
      </c>
      <c r="E10" s="412">
        <v>173613</v>
      </c>
      <c r="F10" s="251">
        <f>+(E10-E9)/E9</f>
        <v>0.37909587017134144</v>
      </c>
      <c r="G10" s="251">
        <f>+E10/C10</f>
        <v>8.0375049304733812E-2</v>
      </c>
      <c r="H10"/>
      <c r="I10"/>
      <c r="J10"/>
      <c r="K10"/>
    </row>
    <row r="11" spans="2:11" ht="13.5" thickBot="1">
      <c r="B11" s="256"/>
      <c r="C11" s="257"/>
      <c r="D11" s="258"/>
      <c r="E11" s="257"/>
      <c r="F11" s="258"/>
      <c r="G11" s="258"/>
      <c r="H11"/>
      <c r="I11"/>
      <c r="J11"/>
      <c r="K11"/>
    </row>
    <row r="12" spans="2:11" ht="14.25" thickTop="1" thickBot="1">
      <c r="B12" s="466" t="s">
        <v>508</v>
      </c>
      <c r="C12" s="467"/>
      <c r="D12" s="467"/>
      <c r="E12" s="467"/>
      <c r="F12" s="467"/>
      <c r="G12" s="467"/>
      <c r="H12"/>
      <c r="I12"/>
      <c r="J12"/>
      <c r="K12"/>
    </row>
    <row r="13" spans="2:11" ht="13.5" thickTop="1">
      <c r="G13" s="17"/>
      <c r="H13"/>
      <c r="I13"/>
      <c r="J13"/>
      <c r="K13"/>
    </row>
    <row r="14" spans="2:11" ht="15.75" thickBot="1">
      <c r="D14" s="17"/>
      <c r="F14" s="16"/>
      <c r="G14" s="14"/>
      <c r="H14"/>
      <c r="I14"/>
      <c r="J14"/>
      <c r="K14"/>
    </row>
    <row r="15" spans="2:11" ht="14.25" thickTop="1" thickBot="1">
      <c r="B15" s="250"/>
      <c r="C15" s="252"/>
      <c r="F15" s="17"/>
    </row>
    <row r="16" spans="2:11" ht="14.25" thickTop="1" thickBot="1">
      <c r="B16" s="253"/>
      <c r="C16" s="252"/>
      <c r="D16" s="17"/>
      <c r="F16" s="17"/>
      <c r="G16" s="17"/>
    </row>
    <row r="17" spans="2:4" ht="13.5" thickTop="1">
      <c r="B17" s="254"/>
      <c r="C17" s="255"/>
      <c r="D17" s="17"/>
    </row>
    <row r="18" spans="2:4">
      <c r="B18" s="254"/>
      <c r="C18" s="255"/>
    </row>
    <row r="46" spans="2:11">
      <c r="B46"/>
      <c r="C46" s="5"/>
      <c r="D46"/>
      <c r="E46"/>
      <c r="F46"/>
      <c r="G46"/>
      <c r="H46"/>
      <c r="I46"/>
      <c r="J46"/>
      <c r="K46"/>
    </row>
  </sheetData>
  <mergeCells count="5">
    <mergeCell ref="B5:G5"/>
    <mergeCell ref="B2:G2"/>
    <mergeCell ref="B4:G4"/>
    <mergeCell ref="B3:G3"/>
    <mergeCell ref="B12:G12"/>
  </mergeCells>
  <phoneticPr fontId="6" type="noConversion"/>
  <hyperlinks>
    <hyperlink ref="B3:G3" location="'Capitulo 1'!B20" display="'Capitulo 1'!B20" xr:uid="{00000000-0004-0000-03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B2:I57"/>
  <sheetViews>
    <sheetView showGridLines="0" workbookViewId="0">
      <pane ySplit="4" topLeftCell="A5" activePane="bottomLeft" state="frozen"/>
      <selection pane="bottomLeft" activeCell="B3" sqref="B3:H3"/>
    </sheetView>
  </sheetViews>
  <sheetFormatPr baseColWidth="10" defaultRowHeight="12.75"/>
  <cols>
    <col min="1" max="1" width="11.42578125" style="22"/>
    <col min="2" max="2" width="13.28515625" style="22" customWidth="1"/>
    <col min="3" max="3" width="14" style="22" customWidth="1"/>
    <col min="4" max="4" width="17.85546875" style="22" customWidth="1"/>
    <col min="5" max="5" width="16.42578125" style="22" customWidth="1"/>
    <col min="6" max="6" width="13.7109375" style="22" customWidth="1"/>
    <col min="7" max="7" width="13.28515625" style="22" customWidth="1"/>
    <col min="8" max="8" width="15.140625" style="22" customWidth="1"/>
    <col min="9" max="16384" width="11.42578125" style="22"/>
  </cols>
  <sheetData>
    <row r="2" spans="2:9" ht="15">
      <c r="B2" s="462" t="s">
        <v>319</v>
      </c>
      <c r="C2" s="462"/>
      <c r="D2" s="462"/>
      <c r="E2" s="462"/>
      <c r="F2" s="462"/>
      <c r="G2" s="462"/>
      <c r="H2" s="462"/>
    </row>
    <row r="3" spans="2:9" ht="23.25" customHeight="1" thickBot="1">
      <c r="B3" s="464" t="s">
        <v>505</v>
      </c>
      <c r="C3" s="464"/>
      <c r="D3" s="464"/>
      <c r="E3" s="464"/>
      <c r="F3" s="464"/>
      <c r="G3" s="464"/>
      <c r="H3" s="464"/>
    </row>
    <row r="4" spans="2:9" ht="52.5" thickTop="1" thickBot="1">
      <c r="B4" s="327" t="s">
        <v>595</v>
      </c>
      <c r="C4" s="327" t="s">
        <v>4</v>
      </c>
      <c r="D4" s="327" t="s">
        <v>197</v>
      </c>
      <c r="E4" s="327" t="s">
        <v>463</v>
      </c>
      <c r="F4" s="327" t="s">
        <v>325</v>
      </c>
      <c r="G4" s="327" t="s">
        <v>326</v>
      </c>
      <c r="H4" s="327" t="s">
        <v>198</v>
      </c>
    </row>
    <row r="5" spans="2:9" ht="14.25" thickTop="1" thickBot="1">
      <c r="B5" s="250">
        <v>2005</v>
      </c>
      <c r="C5" s="413">
        <f>SUM(D5:H5)</f>
        <v>9917</v>
      </c>
      <c r="D5" s="413">
        <v>1842</v>
      </c>
      <c r="E5" s="413">
        <v>6941</v>
      </c>
      <c r="F5" s="413">
        <v>638</v>
      </c>
      <c r="G5" s="413">
        <v>3</v>
      </c>
      <c r="H5" s="413">
        <v>493</v>
      </c>
    </row>
    <row r="6" spans="2:9" ht="14.25" thickTop="1" thickBot="1">
      <c r="B6" s="250">
        <v>2006</v>
      </c>
      <c r="C6" s="413">
        <f t="shared" ref="C6:C18" si="0">SUM(D6:H6)</f>
        <v>8756</v>
      </c>
      <c r="D6" s="413">
        <v>1586</v>
      </c>
      <c r="E6" s="413">
        <v>6230</v>
      </c>
      <c r="F6" s="413">
        <v>647</v>
      </c>
      <c r="G6" s="413">
        <v>24</v>
      </c>
      <c r="H6" s="413">
        <v>269</v>
      </c>
    </row>
    <row r="7" spans="2:9" ht="14.25" thickTop="1" thickBot="1">
      <c r="B7" s="250">
        <v>2007</v>
      </c>
      <c r="C7" s="413">
        <f t="shared" si="0"/>
        <v>11442</v>
      </c>
      <c r="D7" s="413">
        <v>1306</v>
      </c>
      <c r="E7" s="413">
        <v>8549</v>
      </c>
      <c r="F7" s="413">
        <v>966</v>
      </c>
      <c r="G7" s="413">
        <v>11</v>
      </c>
      <c r="H7" s="413">
        <v>610</v>
      </c>
    </row>
    <row r="8" spans="2:9" ht="14.25" thickTop="1" thickBot="1">
      <c r="B8" s="250">
        <v>2008</v>
      </c>
      <c r="C8" s="413">
        <f t="shared" si="0"/>
        <v>12714</v>
      </c>
      <c r="D8" s="413">
        <v>1140</v>
      </c>
      <c r="E8" s="413">
        <v>9486</v>
      </c>
      <c r="F8" s="413">
        <v>1314</v>
      </c>
      <c r="G8" s="413">
        <v>2</v>
      </c>
      <c r="H8" s="413">
        <v>772</v>
      </c>
    </row>
    <row r="9" spans="2:9" ht="14.25" thickTop="1" thickBot="1">
      <c r="B9" s="250">
        <v>2009</v>
      </c>
      <c r="C9" s="413">
        <f t="shared" si="0"/>
        <v>9642</v>
      </c>
      <c r="D9" s="413">
        <v>895</v>
      </c>
      <c r="E9" s="413">
        <v>6403</v>
      </c>
      <c r="F9" s="413">
        <v>1498</v>
      </c>
      <c r="G9" s="413">
        <v>12</v>
      </c>
      <c r="H9" s="413">
        <v>834</v>
      </c>
      <c r="I9" s="134"/>
    </row>
    <row r="10" spans="2:9" ht="14.25" thickTop="1" thickBot="1">
      <c r="B10" s="250">
        <v>2010</v>
      </c>
      <c r="C10" s="413">
        <f t="shared" si="0"/>
        <v>10722</v>
      </c>
      <c r="D10" s="413">
        <v>942</v>
      </c>
      <c r="E10" s="413">
        <v>7064</v>
      </c>
      <c r="F10" s="413">
        <v>1877</v>
      </c>
      <c r="G10" s="413">
        <v>2</v>
      </c>
      <c r="H10" s="413">
        <v>837</v>
      </c>
      <c r="I10" s="134"/>
    </row>
    <row r="11" spans="2:9" ht="14.25" thickTop="1" thickBot="1">
      <c r="B11" s="250">
        <v>2011</v>
      </c>
      <c r="C11" s="413">
        <f t="shared" si="0"/>
        <v>10461</v>
      </c>
      <c r="D11" s="413">
        <v>1098</v>
      </c>
      <c r="E11" s="413">
        <v>6786</v>
      </c>
      <c r="F11" s="413">
        <v>1724</v>
      </c>
      <c r="G11" s="413">
        <v>0</v>
      </c>
      <c r="H11" s="413">
        <v>853</v>
      </c>
      <c r="I11" s="134"/>
    </row>
    <row r="12" spans="2:9" ht="14.25" thickTop="1" thickBot="1">
      <c r="B12" s="250">
        <v>2012</v>
      </c>
      <c r="C12" s="413">
        <f t="shared" si="0"/>
        <v>9463</v>
      </c>
      <c r="D12" s="413">
        <v>1102</v>
      </c>
      <c r="E12" s="413">
        <v>6409</v>
      </c>
      <c r="F12" s="413">
        <v>1290</v>
      </c>
      <c r="G12" s="413">
        <v>0</v>
      </c>
      <c r="H12" s="413">
        <v>662</v>
      </c>
      <c r="I12" s="134"/>
    </row>
    <row r="13" spans="2:9" ht="14.25" thickTop="1" thickBot="1">
      <c r="B13" s="250">
        <v>2013</v>
      </c>
      <c r="C13" s="413">
        <f t="shared" si="0"/>
        <v>10061</v>
      </c>
      <c r="D13" s="413">
        <v>1325</v>
      </c>
      <c r="E13" s="413">
        <v>7097</v>
      </c>
      <c r="F13" s="413">
        <v>925</v>
      </c>
      <c r="G13" s="413">
        <v>0</v>
      </c>
      <c r="H13" s="413">
        <v>714</v>
      </c>
      <c r="I13" s="134"/>
    </row>
    <row r="14" spans="2:9" ht="14.25" thickTop="1" thickBot="1">
      <c r="B14" s="253">
        <v>2014</v>
      </c>
      <c r="C14" s="413">
        <f t="shared" si="0"/>
        <v>9804</v>
      </c>
      <c r="D14" s="413">
        <v>1211</v>
      </c>
      <c r="E14" s="413">
        <f>6974+4</f>
        <v>6978</v>
      </c>
      <c r="F14" s="413">
        <v>811</v>
      </c>
      <c r="G14" s="413">
        <v>0</v>
      </c>
      <c r="H14" s="413">
        <v>804</v>
      </c>
      <c r="I14" s="134"/>
    </row>
    <row r="15" spans="2:9" ht="14.25" thickTop="1" thickBot="1">
      <c r="B15" s="253">
        <v>2015</v>
      </c>
      <c r="C15" s="413">
        <f t="shared" si="0"/>
        <v>10867</v>
      </c>
      <c r="D15" s="413">
        <v>1283</v>
      </c>
      <c r="E15" s="413">
        <v>7893</v>
      </c>
      <c r="F15" s="413">
        <v>731</v>
      </c>
      <c r="G15" s="413">
        <v>0</v>
      </c>
      <c r="H15" s="413">
        <v>960</v>
      </c>
      <c r="I15" s="134"/>
    </row>
    <row r="16" spans="2:9" ht="14.25" thickTop="1" thickBot="1">
      <c r="B16" s="253">
        <v>2016</v>
      </c>
      <c r="C16" s="413">
        <f t="shared" si="0"/>
        <v>11823</v>
      </c>
      <c r="D16" s="413">
        <v>1815</v>
      </c>
      <c r="E16" s="413">
        <v>8339</v>
      </c>
      <c r="F16" s="413">
        <v>621</v>
      </c>
      <c r="G16" s="413">
        <v>0</v>
      </c>
      <c r="H16" s="413">
        <v>1048</v>
      </c>
      <c r="I16" s="134"/>
    </row>
    <row r="17" spans="2:9" ht="14.25" thickTop="1" thickBot="1">
      <c r="B17" s="253">
        <v>2017</v>
      </c>
      <c r="C17" s="413">
        <f t="shared" si="0"/>
        <v>11155</v>
      </c>
      <c r="D17" s="413">
        <v>2020</v>
      </c>
      <c r="E17" s="413">
        <v>7717</v>
      </c>
      <c r="F17" s="413">
        <v>392</v>
      </c>
      <c r="G17" s="413">
        <v>0</v>
      </c>
      <c r="H17" s="413">
        <v>1026</v>
      </c>
      <c r="I17" s="134"/>
    </row>
    <row r="18" spans="2:9" ht="14.25" thickTop="1" thickBot="1">
      <c r="B18" s="253">
        <v>2018</v>
      </c>
      <c r="C18" s="413">
        <f t="shared" si="0"/>
        <v>11461</v>
      </c>
      <c r="D18" s="413">
        <v>2093</v>
      </c>
      <c r="E18" s="413">
        <f>7467+149</f>
        <v>7616</v>
      </c>
      <c r="F18" s="413">
        <v>587</v>
      </c>
      <c r="G18" s="413">
        <v>0</v>
      </c>
      <c r="H18" s="413">
        <v>1165</v>
      </c>
      <c r="I18" s="134"/>
    </row>
    <row r="19" spans="2:9" ht="15.75" thickTop="1" thickBot="1">
      <c r="B19" s="248"/>
      <c r="C19" s="339"/>
      <c r="D19" s="339"/>
      <c r="E19" s="339"/>
      <c r="F19" s="339"/>
      <c r="G19" s="339"/>
      <c r="H19" s="339"/>
      <c r="I19" s="134"/>
    </row>
    <row r="20" spans="2:9" ht="14.25" thickTop="1" thickBot="1">
      <c r="B20" s="495" t="s">
        <v>185</v>
      </c>
      <c r="C20" s="496"/>
      <c r="D20" s="496"/>
      <c r="E20" s="496"/>
      <c r="F20" s="496"/>
      <c r="G20" s="496"/>
      <c r="H20" s="526"/>
      <c r="I20" s="210"/>
    </row>
    <row r="21" spans="2:9" ht="14.25" thickTop="1">
      <c r="B21" s="139"/>
      <c r="C21" s="140"/>
      <c r="D21" s="140"/>
      <c r="E21" s="140"/>
      <c r="F21" s="140"/>
      <c r="G21" s="140"/>
      <c r="H21" s="140"/>
    </row>
    <row r="22" spans="2:9" ht="13.5">
      <c r="B22" s="24"/>
      <c r="C22" s="24"/>
      <c r="D22" s="201"/>
      <c r="E22" s="141"/>
      <c r="F22" s="24"/>
      <c r="G22" s="24"/>
      <c r="H22" s="24"/>
    </row>
    <row r="23" spans="2:9">
      <c r="D23" s="67"/>
      <c r="E23" s="67"/>
      <c r="F23" s="67"/>
      <c r="G23" s="67"/>
      <c r="H23" s="67"/>
      <c r="I23" s="136"/>
    </row>
    <row r="24" spans="2:9">
      <c r="D24" s="136"/>
      <c r="E24" s="136"/>
      <c r="F24" s="136"/>
      <c r="G24" s="136"/>
      <c r="H24" s="136"/>
    </row>
    <row r="26" spans="2:9">
      <c r="D26" s="136"/>
    </row>
    <row r="57" spans="2:2">
      <c r="B57" s="142"/>
    </row>
  </sheetData>
  <mergeCells count="3">
    <mergeCell ref="B2:H2"/>
    <mergeCell ref="B3:H3"/>
    <mergeCell ref="B20:H20"/>
  </mergeCells>
  <hyperlinks>
    <hyperlink ref="B3:H3" location="'Capitulo 4'!B24" display="Número de BFV pagados por propósito. 2005-2018." xr:uid="{00000000-0004-0000-2800-000000000000}"/>
  </hyperlinks>
  <pageMargins left="0.7" right="0.7" top="0.75" bottom="0.75" header="0.3" footer="0.3"/>
  <pageSetup orientation="portrait" verticalDpi="0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B2:I24"/>
  <sheetViews>
    <sheetView showGridLines="0" workbookViewId="0">
      <pane ySplit="4" topLeftCell="A5" activePane="bottomLeft" state="frozen"/>
      <selection pane="bottomLeft" activeCell="I19" sqref="I19"/>
    </sheetView>
  </sheetViews>
  <sheetFormatPr baseColWidth="10" defaultRowHeight="12.75"/>
  <cols>
    <col min="1" max="1" width="11.42578125" style="22"/>
    <col min="2" max="2" width="13.5703125" style="22" customWidth="1"/>
    <col min="3" max="3" width="13.7109375" style="22" customWidth="1"/>
    <col min="4" max="4" width="13.140625" style="22" customWidth="1"/>
    <col min="5" max="5" width="12.85546875" style="22" bestFit="1" customWidth="1"/>
    <col min="6" max="6" width="12" style="22" customWidth="1"/>
    <col min="7" max="16384" width="11.42578125" style="22"/>
  </cols>
  <sheetData>
    <row r="2" spans="2:9" ht="15.75" customHeight="1">
      <c r="B2" s="490" t="s">
        <v>320</v>
      </c>
      <c r="C2" s="490"/>
      <c r="D2" s="490"/>
      <c r="E2" s="490"/>
      <c r="F2" s="490"/>
    </row>
    <row r="3" spans="2:9" ht="36" customHeight="1" thickBot="1">
      <c r="B3" s="464" t="s">
        <v>506</v>
      </c>
      <c r="C3" s="464"/>
      <c r="D3" s="464"/>
      <c r="E3" s="464"/>
      <c r="F3" s="464"/>
    </row>
    <row r="4" spans="2:9" ht="39.75" customHeight="1" thickTop="1" thickBot="1">
      <c r="B4" s="327" t="s">
        <v>595</v>
      </c>
      <c r="C4" s="327" t="s">
        <v>500</v>
      </c>
      <c r="D4" s="327" t="s">
        <v>199</v>
      </c>
      <c r="E4" s="327" t="s">
        <v>200</v>
      </c>
      <c r="F4" s="327" t="s">
        <v>201</v>
      </c>
    </row>
    <row r="5" spans="2:9" ht="17.25" thickTop="1" thickBot="1">
      <c r="B5" s="343">
        <v>2005</v>
      </c>
      <c r="C5" s="417">
        <f>SUM(D5:F5)</f>
        <v>9917</v>
      </c>
      <c r="D5" s="417">
        <v>4267</v>
      </c>
      <c r="E5" s="417">
        <v>5650</v>
      </c>
      <c r="F5" s="417">
        <v>0</v>
      </c>
      <c r="G5" s="143"/>
      <c r="H5" s="143"/>
      <c r="I5" s="144"/>
    </row>
    <row r="6" spans="2:9" ht="17.25" thickTop="1" thickBot="1">
      <c r="B6" s="343">
        <v>2006</v>
      </c>
      <c r="C6" s="417">
        <f t="shared" ref="C6:C18" si="0">SUM(D6:F6)</f>
        <v>8756</v>
      </c>
      <c r="D6" s="417">
        <v>3834</v>
      </c>
      <c r="E6" s="417">
        <v>4922</v>
      </c>
      <c r="F6" s="417">
        <v>0</v>
      </c>
      <c r="G6" s="143"/>
      <c r="H6" s="143"/>
      <c r="I6" s="144"/>
    </row>
    <row r="7" spans="2:9" ht="17.25" thickTop="1" thickBot="1">
      <c r="B7" s="343">
        <v>2007</v>
      </c>
      <c r="C7" s="417">
        <f t="shared" si="0"/>
        <v>11442</v>
      </c>
      <c r="D7" s="417">
        <v>4937</v>
      </c>
      <c r="E7" s="417">
        <v>6505</v>
      </c>
      <c r="F7" s="417">
        <v>0</v>
      </c>
      <c r="G7" s="143"/>
      <c r="H7" s="143"/>
      <c r="I7" s="144"/>
    </row>
    <row r="8" spans="2:9" ht="17.25" thickTop="1" thickBot="1">
      <c r="B8" s="343">
        <v>2008</v>
      </c>
      <c r="C8" s="417">
        <f t="shared" si="0"/>
        <v>12714</v>
      </c>
      <c r="D8" s="417">
        <v>5773</v>
      </c>
      <c r="E8" s="417">
        <v>6941</v>
      </c>
      <c r="F8" s="417">
        <v>0</v>
      </c>
      <c r="G8" s="143"/>
      <c r="H8" s="143"/>
      <c r="I8" s="144"/>
    </row>
    <row r="9" spans="2:9" ht="17.25" thickTop="1" thickBot="1">
      <c r="B9" s="343">
        <v>2009</v>
      </c>
      <c r="C9" s="417">
        <f t="shared" si="0"/>
        <v>9642</v>
      </c>
      <c r="D9" s="417">
        <v>4716</v>
      </c>
      <c r="E9" s="417">
        <v>4926</v>
      </c>
      <c r="F9" s="417">
        <v>0</v>
      </c>
      <c r="G9" s="143"/>
      <c r="H9" s="143"/>
      <c r="I9" s="144"/>
    </row>
    <row r="10" spans="2:9" ht="17.25" thickTop="1" thickBot="1">
      <c r="B10" s="343">
        <v>2010</v>
      </c>
      <c r="C10" s="417">
        <f t="shared" si="0"/>
        <v>10722</v>
      </c>
      <c r="D10" s="417">
        <v>5366</v>
      </c>
      <c r="E10" s="417">
        <v>5356</v>
      </c>
      <c r="F10" s="417">
        <v>0</v>
      </c>
      <c r="G10" s="143"/>
      <c r="H10" s="143"/>
      <c r="I10" s="144"/>
    </row>
    <row r="11" spans="2:9" ht="17.25" thickTop="1" thickBot="1">
      <c r="B11" s="343">
        <v>2011</v>
      </c>
      <c r="C11" s="417">
        <f t="shared" si="0"/>
        <v>10461</v>
      </c>
      <c r="D11" s="417">
        <v>5413</v>
      </c>
      <c r="E11" s="417">
        <v>5048</v>
      </c>
      <c r="F11" s="417">
        <v>0</v>
      </c>
      <c r="G11" s="143"/>
      <c r="H11" s="143"/>
      <c r="I11" s="144"/>
    </row>
    <row r="12" spans="2:9" ht="17.25" thickTop="1" thickBot="1">
      <c r="B12" s="343">
        <v>2012</v>
      </c>
      <c r="C12" s="417">
        <f t="shared" si="0"/>
        <v>9463</v>
      </c>
      <c r="D12" s="417">
        <v>5004</v>
      </c>
      <c r="E12" s="417">
        <v>4455</v>
      </c>
      <c r="F12" s="417">
        <v>4</v>
      </c>
      <c r="G12" s="143"/>
      <c r="H12" s="143"/>
      <c r="I12" s="144"/>
    </row>
    <row r="13" spans="2:9" ht="17.25" thickTop="1" thickBot="1">
      <c r="B13" s="343">
        <v>2013</v>
      </c>
      <c r="C13" s="417">
        <f t="shared" si="0"/>
        <v>10061</v>
      </c>
      <c r="D13" s="417">
        <v>5330</v>
      </c>
      <c r="E13" s="417">
        <v>4726</v>
      </c>
      <c r="F13" s="417">
        <v>5</v>
      </c>
      <c r="G13" s="143"/>
      <c r="H13" s="143"/>
      <c r="I13" s="144"/>
    </row>
    <row r="14" spans="2:9" ht="17.25" thickTop="1" thickBot="1">
      <c r="B14" s="344">
        <v>2014</v>
      </c>
      <c r="C14" s="417">
        <f t="shared" si="0"/>
        <v>9804</v>
      </c>
      <c r="D14" s="417">
        <v>5280</v>
      </c>
      <c r="E14" s="417">
        <v>4520</v>
      </c>
      <c r="F14" s="417">
        <v>4</v>
      </c>
      <c r="G14" s="143"/>
      <c r="H14" s="143"/>
      <c r="I14" s="144"/>
    </row>
    <row r="15" spans="2:9" ht="17.25" thickTop="1" thickBot="1">
      <c r="B15" s="344">
        <v>2015</v>
      </c>
      <c r="C15" s="417">
        <f t="shared" si="0"/>
        <v>10867</v>
      </c>
      <c r="D15" s="417">
        <v>6059</v>
      </c>
      <c r="E15" s="417">
        <v>4798</v>
      </c>
      <c r="F15" s="417">
        <v>10</v>
      </c>
      <c r="G15" s="143"/>
      <c r="H15" s="143"/>
      <c r="I15" s="144"/>
    </row>
    <row r="16" spans="2:9" ht="17.25" thickTop="1" thickBot="1">
      <c r="B16" s="344">
        <v>2016</v>
      </c>
      <c r="C16" s="417">
        <f t="shared" si="0"/>
        <v>11823</v>
      </c>
      <c r="D16" s="417">
        <v>6881</v>
      </c>
      <c r="E16" s="417">
        <v>4935</v>
      </c>
      <c r="F16" s="417">
        <v>7</v>
      </c>
      <c r="G16" s="143"/>
      <c r="H16" s="143"/>
      <c r="I16" s="144"/>
    </row>
    <row r="17" spans="2:9" ht="17.25" thickTop="1" thickBot="1">
      <c r="B17" s="344">
        <v>2017</v>
      </c>
      <c r="C17" s="417">
        <f t="shared" si="0"/>
        <v>11155</v>
      </c>
      <c r="D17" s="417">
        <v>6708</v>
      </c>
      <c r="E17" s="417">
        <v>4446</v>
      </c>
      <c r="F17" s="417">
        <v>1</v>
      </c>
      <c r="G17" s="143"/>
      <c r="H17" s="143"/>
      <c r="I17" s="144"/>
    </row>
    <row r="18" spans="2:9" ht="17.25" thickTop="1" thickBot="1">
      <c r="B18" s="344">
        <v>2018</v>
      </c>
      <c r="C18" s="417">
        <f t="shared" si="0"/>
        <v>11461</v>
      </c>
      <c r="D18" s="417">
        <v>7041</v>
      </c>
      <c r="E18" s="417">
        <v>4420</v>
      </c>
      <c r="F18" s="417">
        <v>0</v>
      </c>
      <c r="G18" s="143"/>
      <c r="H18" s="143"/>
      <c r="I18" s="144"/>
    </row>
    <row r="19" spans="2:9" ht="17.25" thickTop="1" thickBot="1">
      <c r="B19" s="341"/>
      <c r="C19" s="342"/>
      <c r="D19" s="342"/>
      <c r="E19" s="342"/>
      <c r="F19" s="342"/>
      <c r="G19" s="143"/>
      <c r="H19" s="143"/>
      <c r="I19" s="144"/>
    </row>
    <row r="20" spans="2:9" ht="14.25" thickTop="1" thickBot="1">
      <c r="B20" s="570" t="s">
        <v>185</v>
      </c>
      <c r="C20" s="571"/>
      <c r="D20" s="571"/>
      <c r="E20" s="571"/>
      <c r="F20" s="571"/>
    </row>
    <row r="21" spans="2:9" ht="14.25" thickTop="1">
      <c r="B21" s="127"/>
      <c r="C21" s="24"/>
      <c r="D21" s="176"/>
      <c r="E21" s="24"/>
      <c r="F21" s="24"/>
    </row>
    <row r="24" spans="2:9">
      <c r="D24" s="132"/>
    </row>
  </sheetData>
  <mergeCells count="3">
    <mergeCell ref="B20:F20"/>
    <mergeCell ref="B2:F2"/>
    <mergeCell ref="B3:F3"/>
  </mergeCells>
  <hyperlinks>
    <hyperlink ref="B3:F3" location="'Capitulo 4'!B25" display="Número de BFV pagados por género del jefe de familia.                    2005-2018." xr:uid="{00000000-0004-0000-2900-000000000000}"/>
  </hyperlinks>
  <pageMargins left="0.7" right="0.7" top="0.75" bottom="0.75" header="0.3" footer="0.3"/>
  <pageSetup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B2:I25"/>
  <sheetViews>
    <sheetView showGridLines="0" workbookViewId="0">
      <pane ySplit="5" topLeftCell="A9" activePane="bottomLeft" state="frozen"/>
      <selection pane="bottomLeft" activeCell="B3" sqref="B3:I3"/>
    </sheetView>
  </sheetViews>
  <sheetFormatPr baseColWidth="10" defaultRowHeight="12.75"/>
  <cols>
    <col min="1" max="1" width="11.42578125" style="22"/>
    <col min="2" max="2" width="13.5703125" style="22" customWidth="1"/>
    <col min="3" max="3" width="13.7109375" style="22" customWidth="1"/>
    <col min="4" max="4" width="13.140625" style="22" customWidth="1"/>
    <col min="5" max="5" width="12.85546875" style="22" bestFit="1" customWidth="1"/>
    <col min="6" max="6" width="12" style="22" customWidth="1"/>
    <col min="7" max="16384" width="11.42578125" style="22"/>
  </cols>
  <sheetData>
    <row r="2" spans="2:9" ht="15.75" customHeight="1">
      <c r="B2" s="490" t="s">
        <v>324</v>
      </c>
      <c r="C2" s="490"/>
      <c r="D2" s="490"/>
      <c r="E2" s="490"/>
      <c r="F2" s="490"/>
      <c r="G2" s="490"/>
      <c r="H2" s="490"/>
      <c r="I2" s="490"/>
    </row>
    <row r="3" spans="2:9" ht="36" customHeight="1" thickBot="1">
      <c r="B3" s="482" t="s">
        <v>704</v>
      </c>
      <c r="C3" s="482"/>
      <c r="D3" s="482"/>
      <c r="E3" s="482"/>
      <c r="F3" s="482"/>
      <c r="G3" s="482"/>
      <c r="H3" s="482"/>
      <c r="I3" s="482"/>
    </row>
    <row r="4" spans="2:9" ht="14.25" thickTop="1" thickBot="1">
      <c r="B4" s="494" t="s">
        <v>595</v>
      </c>
      <c r="C4" s="476" t="s">
        <v>500</v>
      </c>
      <c r="D4" s="459" t="s">
        <v>705</v>
      </c>
      <c r="E4" s="460"/>
      <c r="F4" s="460"/>
      <c r="G4" s="460"/>
      <c r="H4" s="461"/>
      <c r="I4" s="476" t="s">
        <v>201</v>
      </c>
    </row>
    <row r="5" spans="2:9" ht="27" thickTop="1" thickBot="1">
      <c r="B5" s="503"/>
      <c r="C5" s="477"/>
      <c r="D5" s="327" t="s">
        <v>710</v>
      </c>
      <c r="E5" s="327" t="s">
        <v>706</v>
      </c>
      <c r="F5" s="327" t="s">
        <v>707</v>
      </c>
      <c r="G5" s="327" t="s">
        <v>708</v>
      </c>
      <c r="H5" s="327" t="s">
        <v>709</v>
      </c>
      <c r="I5" s="477"/>
    </row>
    <row r="6" spans="2:9" ht="14.25" thickTop="1" thickBot="1">
      <c r="B6" s="343">
        <v>2005</v>
      </c>
      <c r="C6" s="417">
        <f>SUM(D6:I6)</f>
        <v>9917</v>
      </c>
      <c r="D6" s="417">
        <v>0</v>
      </c>
      <c r="E6" s="417">
        <v>4854</v>
      </c>
      <c r="F6" s="417">
        <v>4243</v>
      </c>
      <c r="G6" s="417">
        <v>819</v>
      </c>
      <c r="H6" s="417">
        <v>1</v>
      </c>
      <c r="I6" s="417">
        <v>0</v>
      </c>
    </row>
    <row r="7" spans="2:9" ht="14.25" thickTop="1" thickBot="1">
      <c r="B7" s="343">
        <v>2006</v>
      </c>
      <c r="C7" s="417">
        <f t="shared" ref="C7:C19" si="0">SUM(D7:I7)</f>
        <v>8756</v>
      </c>
      <c r="D7" s="417">
        <v>3</v>
      </c>
      <c r="E7" s="417">
        <v>4398</v>
      </c>
      <c r="F7" s="417">
        <v>3668</v>
      </c>
      <c r="G7" s="417">
        <v>685</v>
      </c>
      <c r="H7" s="417">
        <v>1</v>
      </c>
      <c r="I7" s="417">
        <v>1</v>
      </c>
    </row>
    <row r="8" spans="2:9" ht="14.25" thickTop="1" thickBot="1">
      <c r="B8" s="343">
        <v>2007</v>
      </c>
      <c r="C8" s="417">
        <f t="shared" si="0"/>
        <v>11442</v>
      </c>
      <c r="D8" s="417">
        <v>0</v>
      </c>
      <c r="E8" s="417">
        <v>5582</v>
      </c>
      <c r="F8" s="417">
        <v>4987</v>
      </c>
      <c r="G8" s="417">
        <v>873</v>
      </c>
      <c r="H8" s="417">
        <v>0</v>
      </c>
      <c r="I8" s="417">
        <v>0</v>
      </c>
    </row>
    <row r="9" spans="2:9" ht="14.25" thickTop="1" thickBot="1">
      <c r="B9" s="343">
        <v>2008</v>
      </c>
      <c r="C9" s="417">
        <f t="shared" si="0"/>
        <v>12714</v>
      </c>
      <c r="D9" s="417">
        <v>0</v>
      </c>
      <c r="E9" s="417">
        <v>6310</v>
      </c>
      <c r="F9" s="417">
        <v>5490</v>
      </c>
      <c r="G9" s="417">
        <v>914</v>
      </c>
      <c r="H9" s="417">
        <v>0</v>
      </c>
      <c r="I9" s="417">
        <v>0</v>
      </c>
    </row>
    <row r="10" spans="2:9" ht="14.25" thickTop="1" thickBot="1">
      <c r="B10" s="343">
        <v>2009</v>
      </c>
      <c r="C10" s="417">
        <f t="shared" si="0"/>
        <v>9642</v>
      </c>
      <c r="D10" s="417">
        <v>0</v>
      </c>
      <c r="E10" s="417">
        <v>4703</v>
      </c>
      <c r="F10" s="417">
        <v>4131</v>
      </c>
      <c r="G10" s="417">
        <v>808</v>
      </c>
      <c r="H10" s="417">
        <v>0</v>
      </c>
      <c r="I10" s="417">
        <v>0</v>
      </c>
    </row>
    <row r="11" spans="2:9" ht="14.25" thickTop="1" thickBot="1">
      <c r="B11" s="343">
        <v>2010</v>
      </c>
      <c r="C11" s="417">
        <f t="shared" si="0"/>
        <v>10722</v>
      </c>
      <c r="D11" s="417">
        <v>2</v>
      </c>
      <c r="E11" s="417">
        <v>5476</v>
      </c>
      <c r="F11" s="417">
        <v>4340</v>
      </c>
      <c r="G11" s="417">
        <v>904</v>
      </c>
      <c r="H11" s="417">
        <v>0</v>
      </c>
      <c r="I11" s="417">
        <v>0</v>
      </c>
    </row>
    <row r="12" spans="2:9" ht="14.25" thickTop="1" thickBot="1">
      <c r="B12" s="343">
        <v>2011</v>
      </c>
      <c r="C12" s="417">
        <f t="shared" si="0"/>
        <v>10461</v>
      </c>
      <c r="D12" s="417">
        <v>1</v>
      </c>
      <c r="E12" s="417">
        <v>5417</v>
      </c>
      <c r="F12" s="417">
        <v>4181</v>
      </c>
      <c r="G12" s="417">
        <v>862</v>
      </c>
      <c r="H12" s="417">
        <v>0</v>
      </c>
      <c r="I12" s="417">
        <v>0</v>
      </c>
    </row>
    <row r="13" spans="2:9" ht="14.25" thickTop="1" thickBot="1">
      <c r="B13" s="343">
        <v>2012</v>
      </c>
      <c r="C13" s="417">
        <f t="shared" si="0"/>
        <v>9463</v>
      </c>
      <c r="D13" s="417">
        <v>0</v>
      </c>
      <c r="E13" s="417">
        <v>4967</v>
      </c>
      <c r="F13" s="417">
        <v>3808</v>
      </c>
      <c r="G13" s="417">
        <v>684</v>
      </c>
      <c r="H13" s="417">
        <v>0</v>
      </c>
      <c r="I13" s="417">
        <v>4</v>
      </c>
    </row>
    <row r="14" spans="2:9" ht="14.25" thickTop="1" thickBot="1">
      <c r="B14" s="343">
        <v>2013</v>
      </c>
      <c r="C14" s="417">
        <f t="shared" si="0"/>
        <v>10061</v>
      </c>
      <c r="D14" s="417">
        <v>1</v>
      </c>
      <c r="E14" s="417">
        <v>5324</v>
      </c>
      <c r="F14" s="417">
        <v>3931</v>
      </c>
      <c r="G14" s="417">
        <v>800</v>
      </c>
      <c r="H14" s="417">
        <v>0</v>
      </c>
      <c r="I14" s="417">
        <v>5</v>
      </c>
    </row>
    <row r="15" spans="2:9" ht="14.25" thickTop="1" thickBot="1">
      <c r="B15" s="344">
        <v>2014</v>
      </c>
      <c r="C15" s="417">
        <f t="shared" si="0"/>
        <v>9804</v>
      </c>
      <c r="D15" s="417">
        <v>0</v>
      </c>
      <c r="E15" s="417">
        <v>5289</v>
      </c>
      <c r="F15" s="417">
        <v>3699</v>
      </c>
      <c r="G15" s="417">
        <v>812</v>
      </c>
      <c r="H15" s="417">
        <v>0</v>
      </c>
      <c r="I15" s="417">
        <v>4</v>
      </c>
    </row>
    <row r="16" spans="2:9" ht="14.25" thickTop="1" thickBot="1">
      <c r="B16" s="344">
        <v>2015</v>
      </c>
      <c r="C16" s="417">
        <f t="shared" si="0"/>
        <v>10867</v>
      </c>
      <c r="D16" s="417">
        <v>0</v>
      </c>
      <c r="E16" s="417">
        <v>5925</v>
      </c>
      <c r="F16" s="417">
        <v>4009</v>
      </c>
      <c r="G16" s="417">
        <v>923</v>
      </c>
      <c r="H16" s="417">
        <v>0</v>
      </c>
      <c r="I16" s="417">
        <v>10</v>
      </c>
    </row>
    <row r="17" spans="2:9" ht="14.25" thickTop="1" thickBot="1">
      <c r="B17" s="344">
        <v>2016</v>
      </c>
      <c r="C17" s="417">
        <f t="shared" si="0"/>
        <v>11823</v>
      </c>
      <c r="D17" s="417">
        <v>0</v>
      </c>
      <c r="E17" s="417">
        <v>6096</v>
      </c>
      <c r="F17" s="417">
        <v>4631</v>
      </c>
      <c r="G17" s="417">
        <v>1089</v>
      </c>
      <c r="H17" s="417">
        <v>0</v>
      </c>
      <c r="I17" s="417">
        <v>7</v>
      </c>
    </row>
    <row r="18" spans="2:9" ht="14.25" thickTop="1" thickBot="1">
      <c r="B18" s="344">
        <v>2017</v>
      </c>
      <c r="C18" s="417">
        <f t="shared" si="0"/>
        <v>11155</v>
      </c>
      <c r="D18" s="417">
        <v>0</v>
      </c>
      <c r="E18" s="417">
        <v>5925</v>
      </c>
      <c r="F18" s="417">
        <v>4147</v>
      </c>
      <c r="G18" s="417">
        <v>1082</v>
      </c>
      <c r="H18" s="417">
        <v>0</v>
      </c>
      <c r="I18" s="417">
        <v>1</v>
      </c>
    </row>
    <row r="19" spans="2:9" ht="14.25" thickTop="1" thickBot="1">
      <c r="B19" s="344">
        <v>2018</v>
      </c>
      <c r="C19" s="417">
        <f t="shared" si="0"/>
        <v>11461</v>
      </c>
      <c r="D19" s="417">
        <v>0</v>
      </c>
      <c r="E19" s="417">
        <v>5956</v>
      </c>
      <c r="F19" s="417">
        <v>4420</v>
      </c>
      <c r="G19" s="417">
        <v>1085</v>
      </c>
      <c r="H19" s="417">
        <v>0</v>
      </c>
      <c r="I19" s="417">
        <v>0</v>
      </c>
    </row>
    <row r="20" spans="2:9" ht="15.75" thickTop="1">
      <c r="B20" s="341"/>
      <c r="C20" s="342"/>
      <c r="D20" s="342"/>
      <c r="E20" s="342"/>
      <c r="F20" s="342"/>
      <c r="G20" s="345"/>
      <c r="H20" s="345"/>
      <c r="I20" s="345"/>
    </row>
    <row r="21" spans="2:9">
      <c r="B21" s="572" t="s">
        <v>185</v>
      </c>
      <c r="C21" s="573"/>
      <c r="D21" s="573"/>
      <c r="E21" s="573"/>
      <c r="F21" s="573"/>
      <c r="G21" s="573"/>
      <c r="H21" s="573"/>
      <c r="I21" s="573"/>
    </row>
    <row r="22" spans="2:9" ht="13.5">
      <c r="B22" s="127"/>
      <c r="C22" s="24"/>
      <c r="D22" s="176"/>
      <c r="E22" s="24"/>
      <c r="F22" s="24"/>
    </row>
    <row r="25" spans="2:9">
      <c r="D25" s="132"/>
    </row>
  </sheetData>
  <mergeCells count="7">
    <mergeCell ref="B21:I21"/>
    <mergeCell ref="I4:I5"/>
    <mergeCell ref="B2:I2"/>
    <mergeCell ref="B3:I3"/>
    <mergeCell ref="B4:B5"/>
    <mergeCell ref="C4:C5"/>
    <mergeCell ref="D4:H4"/>
  </mergeCells>
  <hyperlinks>
    <hyperlink ref="B3:I3" location="'Capitulo 4'!B26" display="Número de BFV pagados por grupo de edad del jefe de familia. 2005-2018." xr:uid="{00000000-0004-0000-2A00-000000000000}"/>
  </hyperlinks>
  <pageMargins left="0.7" right="0.7" top="0.75" bottom="0.75" header="0.3" footer="0.3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B2:H21"/>
  <sheetViews>
    <sheetView showGridLines="0" workbookViewId="0">
      <pane ySplit="4" topLeftCell="A5" activePane="bottomLeft" state="frozen"/>
      <selection pane="bottomLeft" activeCell="B2" sqref="B2:E2"/>
    </sheetView>
  </sheetViews>
  <sheetFormatPr baseColWidth="10" defaultRowHeight="12.75"/>
  <cols>
    <col min="1" max="1" width="11.42578125" style="22"/>
    <col min="2" max="2" width="17.5703125" style="22" customWidth="1"/>
    <col min="3" max="3" width="19.140625" style="22" customWidth="1"/>
    <col min="4" max="4" width="16.140625" style="22" customWidth="1"/>
    <col min="5" max="5" width="15.28515625" style="22" customWidth="1"/>
    <col min="6" max="16384" width="11.42578125" style="22"/>
  </cols>
  <sheetData>
    <row r="2" spans="2:8" ht="15.75" customHeight="1">
      <c r="B2" s="490" t="s">
        <v>327</v>
      </c>
      <c r="C2" s="490"/>
      <c r="D2" s="490"/>
      <c r="E2" s="490"/>
    </row>
    <row r="3" spans="2:8" ht="35.25" customHeight="1" thickBot="1">
      <c r="B3" s="482" t="s">
        <v>507</v>
      </c>
      <c r="C3" s="482"/>
      <c r="D3" s="482"/>
      <c r="E3" s="482"/>
    </row>
    <row r="4" spans="2:8" ht="53.25" customHeight="1" thickTop="1" thickBot="1">
      <c r="B4" s="327" t="s">
        <v>10</v>
      </c>
      <c r="C4" s="349" t="s">
        <v>202</v>
      </c>
      <c r="D4" s="349" t="s">
        <v>203</v>
      </c>
      <c r="E4" s="349" t="s">
        <v>204</v>
      </c>
    </row>
    <row r="5" spans="2:8" ht="17.25" thickTop="1" thickBot="1">
      <c r="B5" s="343">
        <v>2005</v>
      </c>
      <c r="C5" s="417">
        <f>+D5+E5</f>
        <v>9917</v>
      </c>
      <c r="D5" s="417">
        <v>336</v>
      </c>
      <c r="E5" s="417">
        <v>9581</v>
      </c>
      <c r="F5" s="143"/>
      <c r="G5" s="143"/>
      <c r="H5" s="190"/>
    </row>
    <row r="6" spans="2:8" ht="14.25" thickTop="1" thickBot="1">
      <c r="B6" s="343">
        <v>2006</v>
      </c>
      <c r="C6" s="417">
        <f>+D6+E6</f>
        <v>8756</v>
      </c>
      <c r="D6" s="417">
        <v>366</v>
      </c>
      <c r="E6" s="417">
        <v>8390</v>
      </c>
    </row>
    <row r="7" spans="2:8" ht="14.25" thickTop="1" thickBot="1">
      <c r="B7" s="343">
        <v>2007</v>
      </c>
      <c r="C7" s="417">
        <f>+D7+E7</f>
        <v>11442</v>
      </c>
      <c r="D7" s="417">
        <v>477</v>
      </c>
      <c r="E7" s="417">
        <v>10965</v>
      </c>
    </row>
    <row r="8" spans="2:8" ht="14.25" thickTop="1" thickBot="1">
      <c r="B8" s="343">
        <v>2008</v>
      </c>
      <c r="C8" s="417">
        <f t="shared" ref="C8:C18" si="0">+D8+E8</f>
        <v>12714</v>
      </c>
      <c r="D8" s="417">
        <v>516</v>
      </c>
      <c r="E8" s="417">
        <v>12198</v>
      </c>
    </row>
    <row r="9" spans="2:8" ht="14.25" thickTop="1" thickBot="1">
      <c r="B9" s="343">
        <v>2009</v>
      </c>
      <c r="C9" s="417">
        <f t="shared" si="0"/>
        <v>9642</v>
      </c>
      <c r="D9" s="417">
        <v>446</v>
      </c>
      <c r="E9" s="417">
        <v>9196</v>
      </c>
      <c r="F9" s="26"/>
    </row>
    <row r="10" spans="2:8" ht="14.25" thickTop="1" thickBot="1">
      <c r="B10" s="343">
        <v>2010</v>
      </c>
      <c r="C10" s="417">
        <f t="shared" si="0"/>
        <v>10722</v>
      </c>
      <c r="D10" s="417">
        <v>431</v>
      </c>
      <c r="E10" s="417">
        <v>10291</v>
      </c>
      <c r="F10" s="26"/>
    </row>
    <row r="11" spans="2:8" ht="14.25" thickTop="1" thickBot="1">
      <c r="B11" s="343">
        <v>2011</v>
      </c>
      <c r="C11" s="417">
        <f t="shared" si="0"/>
        <v>10461</v>
      </c>
      <c r="D11" s="417">
        <v>557</v>
      </c>
      <c r="E11" s="417">
        <v>9904</v>
      </c>
      <c r="F11" s="26"/>
    </row>
    <row r="12" spans="2:8" ht="14.25" thickTop="1" thickBot="1">
      <c r="B12" s="343">
        <v>2012</v>
      </c>
      <c r="C12" s="417">
        <f t="shared" si="0"/>
        <v>9463</v>
      </c>
      <c r="D12" s="417">
        <v>539</v>
      </c>
      <c r="E12" s="417">
        <v>8924</v>
      </c>
      <c r="F12" s="26"/>
    </row>
    <row r="13" spans="2:8" ht="14.25" thickTop="1" thickBot="1">
      <c r="B13" s="343">
        <v>2013</v>
      </c>
      <c r="C13" s="417">
        <f t="shared" si="0"/>
        <v>10061</v>
      </c>
      <c r="D13" s="417">
        <v>606</v>
      </c>
      <c r="E13" s="417">
        <v>9455</v>
      </c>
      <c r="F13" s="26"/>
    </row>
    <row r="14" spans="2:8" ht="14.25" thickTop="1" thickBot="1">
      <c r="B14" s="343">
        <v>2014</v>
      </c>
      <c r="C14" s="417">
        <f t="shared" si="0"/>
        <v>9804</v>
      </c>
      <c r="D14" s="417">
        <v>601</v>
      </c>
      <c r="E14" s="417">
        <v>9203</v>
      </c>
      <c r="F14" s="26"/>
    </row>
    <row r="15" spans="2:8" ht="14.25" thickTop="1" thickBot="1">
      <c r="B15" s="343">
        <v>2015</v>
      </c>
      <c r="C15" s="417">
        <f t="shared" si="0"/>
        <v>10867</v>
      </c>
      <c r="D15" s="417">
        <v>764</v>
      </c>
      <c r="E15" s="417">
        <v>10103</v>
      </c>
      <c r="F15" s="26"/>
    </row>
    <row r="16" spans="2:8" ht="14.25" thickTop="1" thickBot="1">
      <c r="B16" s="343">
        <v>2016</v>
      </c>
      <c r="C16" s="417">
        <f t="shared" si="0"/>
        <v>11823</v>
      </c>
      <c r="D16" s="417">
        <v>974</v>
      </c>
      <c r="E16" s="417">
        <v>10849</v>
      </c>
      <c r="F16" s="26"/>
    </row>
    <row r="17" spans="2:6" ht="14.25" thickTop="1" thickBot="1">
      <c r="B17" s="343">
        <v>2017</v>
      </c>
      <c r="C17" s="417">
        <f t="shared" si="0"/>
        <v>11155</v>
      </c>
      <c r="D17" s="417">
        <v>920</v>
      </c>
      <c r="E17" s="417">
        <v>10235</v>
      </c>
      <c r="F17" s="26"/>
    </row>
    <row r="18" spans="2:6" ht="14.25" thickTop="1" thickBot="1">
      <c r="B18" s="343">
        <v>2018</v>
      </c>
      <c r="C18" s="417">
        <f t="shared" si="0"/>
        <v>11461</v>
      </c>
      <c r="D18" s="417">
        <v>1036</v>
      </c>
      <c r="E18" s="417">
        <v>10425</v>
      </c>
      <c r="F18" s="26"/>
    </row>
    <row r="19" spans="2:6" ht="15.75" thickTop="1" thickBot="1">
      <c r="B19" s="346"/>
      <c r="C19" s="347"/>
      <c r="D19" s="347"/>
      <c r="E19" s="348"/>
      <c r="F19" s="26"/>
    </row>
    <row r="20" spans="2:6" ht="14.25" thickTop="1" thickBot="1">
      <c r="B20" s="488" t="s">
        <v>185</v>
      </c>
      <c r="C20" s="489"/>
      <c r="D20" s="489"/>
      <c r="E20" s="489"/>
    </row>
    <row r="21" spans="2:6" ht="13.5" thickTop="1"/>
  </sheetData>
  <mergeCells count="3">
    <mergeCell ref="B2:E2"/>
    <mergeCell ref="B3:E3"/>
    <mergeCell ref="B20:E20"/>
  </mergeCells>
  <hyperlinks>
    <hyperlink ref="B3:E3" location="'Capitulo 4'!B27" display="Número de BFV pagados a nacionales y extranjeros. 2005-2018." xr:uid="{00000000-0004-0000-2B00-000000000000}"/>
  </hyperlinks>
  <pageMargins left="0.7" right="0.7" top="0.75" bottom="0.75" header="0.3" footer="0.3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B2:AH30"/>
  <sheetViews>
    <sheetView showGridLines="0" workbookViewId="0">
      <pane ySplit="4" topLeftCell="A5" activePane="bottomLeft" state="frozen"/>
      <selection pane="bottomLeft" activeCell="B2" sqref="B2:K2"/>
    </sheetView>
  </sheetViews>
  <sheetFormatPr baseColWidth="10" defaultRowHeight="12.75"/>
  <cols>
    <col min="1" max="1" width="11.42578125" style="22"/>
    <col min="2" max="2" width="30.42578125" style="22" customWidth="1"/>
    <col min="3" max="3" width="7.7109375" style="22" customWidth="1"/>
    <col min="4" max="4" width="8.85546875" style="22" customWidth="1"/>
    <col min="5" max="5" width="8.42578125" style="22" customWidth="1"/>
    <col min="6" max="6" width="8" style="22" customWidth="1"/>
    <col min="7" max="8" width="11.42578125" style="22" customWidth="1"/>
    <col min="9" max="16384" width="11.42578125" style="22"/>
  </cols>
  <sheetData>
    <row r="2" spans="2:34" ht="15">
      <c r="B2" s="462" t="s">
        <v>328</v>
      </c>
      <c r="C2" s="462"/>
      <c r="D2" s="462"/>
      <c r="E2" s="462"/>
      <c r="F2" s="462"/>
      <c r="G2" s="462"/>
      <c r="H2" s="462"/>
      <c r="I2" s="462"/>
      <c r="J2" s="462"/>
      <c r="K2" s="462"/>
    </row>
    <row r="3" spans="2:34" ht="22.5" customHeight="1" thickBot="1">
      <c r="B3" s="482" t="s">
        <v>1113</v>
      </c>
      <c r="C3" s="482"/>
      <c r="D3" s="482"/>
      <c r="E3" s="482"/>
      <c r="F3" s="482"/>
      <c r="G3" s="482"/>
      <c r="H3" s="482"/>
      <c r="I3" s="482"/>
      <c r="J3" s="482"/>
      <c r="K3" s="482"/>
    </row>
    <row r="4" spans="2:34" ht="17.25" thickTop="1" thickBot="1">
      <c r="B4" s="327" t="s">
        <v>15</v>
      </c>
      <c r="C4" s="327">
        <v>2010</v>
      </c>
      <c r="D4" s="327">
        <v>2011</v>
      </c>
      <c r="E4" s="327">
        <v>2012</v>
      </c>
      <c r="F4" s="327">
        <v>2013</v>
      </c>
      <c r="G4" s="327">
        <v>2014</v>
      </c>
      <c r="H4" s="327">
        <v>2015</v>
      </c>
      <c r="I4" s="327">
        <v>2016</v>
      </c>
      <c r="J4" s="327">
        <v>2017</v>
      </c>
      <c r="K4" s="327">
        <v>2018</v>
      </c>
      <c r="L4" s="147"/>
      <c r="M4" s="147"/>
      <c r="N4" s="147"/>
      <c r="O4" s="147"/>
      <c r="P4" s="147"/>
      <c r="Q4" s="147"/>
      <c r="R4" s="147"/>
      <c r="S4" s="23"/>
    </row>
    <row r="5" spans="2:34" ht="17.25" thickTop="1" thickBot="1">
      <c r="B5" s="272" t="s">
        <v>4</v>
      </c>
      <c r="C5" s="413">
        <f t="shared" ref="C5:K5" si="0">SUM(C6:C25)</f>
        <v>1719</v>
      </c>
      <c r="D5" s="413">
        <f t="shared" si="0"/>
        <v>1729</v>
      </c>
      <c r="E5" s="413">
        <f t="shared" si="0"/>
        <v>1638</v>
      </c>
      <c r="F5" s="413">
        <f t="shared" si="0"/>
        <v>1562</v>
      </c>
      <c r="G5" s="413">
        <f t="shared" si="0"/>
        <v>1756</v>
      </c>
      <c r="H5" s="413">
        <f t="shared" si="0"/>
        <v>1824</v>
      </c>
      <c r="I5" s="413">
        <f t="shared" si="0"/>
        <v>2130</v>
      </c>
      <c r="J5" s="413">
        <f t="shared" si="0"/>
        <v>1897</v>
      </c>
      <c r="K5" s="413">
        <f t="shared" si="0"/>
        <v>1960</v>
      </c>
      <c r="L5" s="212"/>
      <c r="M5" s="23"/>
      <c r="N5" s="23"/>
      <c r="O5" s="23"/>
      <c r="P5" s="23"/>
      <c r="Q5" s="23"/>
      <c r="R5" s="23"/>
      <c r="S5" s="23"/>
    </row>
    <row r="6" spans="2:34" ht="17.25" thickTop="1" thickBot="1">
      <c r="B6" s="272" t="s">
        <v>205</v>
      </c>
      <c r="C6" s="413">
        <v>74</v>
      </c>
      <c r="D6" s="413">
        <v>148</v>
      </c>
      <c r="E6" s="413">
        <v>166</v>
      </c>
      <c r="F6" s="413">
        <v>134</v>
      </c>
      <c r="G6" s="413">
        <v>112</v>
      </c>
      <c r="H6" s="413">
        <v>105</v>
      </c>
      <c r="I6" s="413">
        <v>109</v>
      </c>
      <c r="J6" s="413">
        <v>121</v>
      </c>
      <c r="K6" s="413">
        <v>118</v>
      </c>
      <c r="L6" s="148"/>
      <c r="M6" s="148"/>
      <c r="N6" s="148"/>
      <c r="O6" s="148"/>
      <c r="P6" s="148"/>
      <c r="Q6" s="148"/>
      <c r="R6" s="148"/>
      <c r="S6" s="149"/>
    </row>
    <row r="7" spans="2:34" ht="17.25" thickTop="1" thickBot="1">
      <c r="B7" s="272" t="s">
        <v>206</v>
      </c>
      <c r="C7" s="413">
        <v>2</v>
      </c>
      <c r="D7" s="413">
        <v>6</v>
      </c>
      <c r="E7" s="413">
        <v>4</v>
      </c>
      <c r="F7" s="413">
        <v>4</v>
      </c>
      <c r="G7" s="413">
        <v>5</v>
      </c>
      <c r="H7" s="413">
        <v>30</v>
      </c>
      <c r="I7" s="413">
        <v>19</v>
      </c>
      <c r="J7" s="413">
        <v>1</v>
      </c>
      <c r="K7" s="413">
        <v>5</v>
      </c>
      <c r="L7" s="148"/>
      <c r="M7" s="148"/>
      <c r="N7" s="148"/>
      <c r="O7" s="148"/>
      <c r="P7" s="148"/>
      <c r="Q7" s="148"/>
      <c r="R7" s="148"/>
      <c r="S7" s="149"/>
    </row>
    <row r="8" spans="2:34" ht="17.25" thickTop="1" thickBot="1">
      <c r="B8" s="272" t="s">
        <v>207</v>
      </c>
      <c r="C8" s="413">
        <v>162</v>
      </c>
      <c r="D8" s="413">
        <v>237</v>
      </c>
      <c r="E8" s="413">
        <v>199</v>
      </c>
      <c r="F8" s="413">
        <v>96</v>
      </c>
      <c r="G8" s="413">
        <v>147</v>
      </c>
      <c r="H8" s="413">
        <v>105</v>
      </c>
      <c r="I8" s="413">
        <v>113</v>
      </c>
      <c r="J8" s="413">
        <v>162</v>
      </c>
      <c r="K8" s="413">
        <v>270</v>
      </c>
      <c r="L8" s="148"/>
      <c r="M8" s="148"/>
      <c r="N8" s="148"/>
      <c r="O8" s="148"/>
      <c r="P8" s="148"/>
      <c r="Q8" s="148"/>
      <c r="R8" s="148"/>
      <c r="S8" s="149"/>
    </row>
    <row r="9" spans="2:34" ht="17.25" thickTop="1" thickBot="1">
      <c r="B9" s="272" t="s">
        <v>1104</v>
      </c>
      <c r="C9" s="413">
        <v>135</v>
      </c>
      <c r="D9" s="413">
        <v>179</v>
      </c>
      <c r="E9" s="413">
        <v>115</v>
      </c>
      <c r="F9" s="413">
        <v>120</v>
      </c>
      <c r="G9" s="413">
        <v>129</v>
      </c>
      <c r="H9" s="413">
        <v>124</v>
      </c>
      <c r="I9" s="413">
        <v>115</v>
      </c>
      <c r="J9" s="413">
        <v>90</v>
      </c>
      <c r="K9" s="413">
        <v>92</v>
      </c>
      <c r="L9" s="148"/>
      <c r="M9" s="148"/>
      <c r="N9" s="148"/>
      <c r="O9" s="148"/>
      <c r="P9" s="148"/>
      <c r="Q9" s="148"/>
      <c r="R9" s="148"/>
      <c r="S9" s="149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</row>
    <row r="10" spans="2:34" ht="17.25" thickTop="1" thickBot="1">
      <c r="B10" s="272" t="s">
        <v>209</v>
      </c>
      <c r="C10" s="413">
        <v>33</v>
      </c>
      <c r="D10" s="413">
        <v>34</v>
      </c>
      <c r="E10" s="413">
        <v>40</v>
      </c>
      <c r="F10" s="413">
        <v>39</v>
      </c>
      <c r="G10" s="413">
        <v>67</v>
      </c>
      <c r="H10" s="413">
        <v>58</v>
      </c>
      <c r="I10" s="413">
        <v>69</v>
      </c>
      <c r="J10" s="413">
        <v>53</v>
      </c>
      <c r="K10" s="413">
        <v>36</v>
      </c>
      <c r="L10" s="148"/>
      <c r="M10" s="148"/>
      <c r="N10" s="148"/>
      <c r="O10" s="148"/>
      <c r="P10" s="148"/>
      <c r="Q10" s="148"/>
      <c r="R10" s="148"/>
      <c r="S10" s="149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</row>
    <row r="11" spans="2:34" ht="17.25" thickTop="1" thickBot="1">
      <c r="B11" s="272" t="s">
        <v>210</v>
      </c>
      <c r="C11" s="413">
        <v>128</v>
      </c>
      <c r="D11" s="413">
        <v>80</v>
      </c>
      <c r="E11" s="413">
        <v>67</v>
      </c>
      <c r="F11" s="413">
        <v>80</v>
      </c>
      <c r="G11" s="413">
        <v>97</v>
      </c>
      <c r="H11" s="413">
        <v>128</v>
      </c>
      <c r="I11" s="413">
        <v>107</v>
      </c>
      <c r="J11" s="413">
        <v>66</v>
      </c>
      <c r="K11" s="413">
        <v>87</v>
      </c>
      <c r="L11" s="148"/>
      <c r="M11" s="148"/>
      <c r="N11" s="148"/>
      <c r="O11" s="148"/>
      <c r="P11" s="148"/>
      <c r="Q11" s="148"/>
      <c r="R11" s="148"/>
      <c r="S11" s="149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</row>
    <row r="12" spans="2:34" ht="17.25" thickTop="1" thickBot="1">
      <c r="B12" s="272" t="s">
        <v>211</v>
      </c>
      <c r="C12" s="413">
        <v>88</v>
      </c>
      <c r="D12" s="413">
        <v>68</v>
      </c>
      <c r="E12" s="413">
        <v>69</v>
      </c>
      <c r="F12" s="413">
        <v>42</v>
      </c>
      <c r="G12" s="413">
        <v>67</v>
      </c>
      <c r="H12" s="413">
        <v>92</v>
      </c>
      <c r="I12" s="413">
        <v>43</v>
      </c>
      <c r="J12" s="413">
        <v>37</v>
      </c>
      <c r="K12" s="413">
        <v>55</v>
      </c>
      <c r="L12" s="148"/>
      <c r="M12" s="148"/>
      <c r="N12" s="148"/>
      <c r="O12" s="148"/>
      <c r="P12" s="148"/>
      <c r="Q12" s="148"/>
      <c r="R12" s="148"/>
      <c r="S12" s="149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</row>
    <row r="13" spans="2:34" ht="17.25" thickTop="1" thickBot="1">
      <c r="B13" s="272" t="s">
        <v>212</v>
      </c>
      <c r="C13" s="413">
        <v>62</v>
      </c>
      <c r="D13" s="413">
        <v>48</v>
      </c>
      <c r="E13" s="413">
        <v>37</v>
      </c>
      <c r="F13" s="413">
        <v>50</v>
      </c>
      <c r="G13" s="413">
        <v>33</v>
      </c>
      <c r="H13" s="413">
        <v>30</v>
      </c>
      <c r="I13" s="413">
        <v>105</v>
      </c>
      <c r="J13" s="413">
        <v>48</v>
      </c>
      <c r="K13" s="413">
        <v>104</v>
      </c>
      <c r="L13" s="148"/>
      <c r="M13" s="148"/>
      <c r="N13" s="148"/>
      <c r="O13" s="148"/>
      <c r="P13" s="148"/>
      <c r="Q13" s="148"/>
      <c r="R13" s="148"/>
      <c r="S13" s="149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</row>
    <row r="14" spans="2:34" ht="17.25" thickTop="1" thickBot="1">
      <c r="B14" s="272" t="s">
        <v>213</v>
      </c>
      <c r="C14" s="413">
        <v>6</v>
      </c>
      <c r="D14" s="413">
        <v>6</v>
      </c>
      <c r="E14" s="413">
        <v>8</v>
      </c>
      <c r="F14" s="413">
        <v>4</v>
      </c>
      <c r="G14" s="413">
        <v>2</v>
      </c>
      <c r="H14" s="413">
        <v>1</v>
      </c>
      <c r="I14" s="413">
        <v>1</v>
      </c>
      <c r="J14" s="413">
        <v>3</v>
      </c>
      <c r="K14" s="413">
        <v>1</v>
      </c>
      <c r="L14" s="148"/>
      <c r="M14" s="148"/>
      <c r="N14" s="148"/>
      <c r="O14" s="148"/>
      <c r="P14" s="148"/>
      <c r="Q14" s="148"/>
      <c r="R14" s="148"/>
      <c r="S14" s="149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</row>
    <row r="15" spans="2:34" ht="17.25" thickTop="1" thickBot="1">
      <c r="B15" s="272" t="s">
        <v>214</v>
      </c>
      <c r="C15" s="413">
        <v>39</v>
      </c>
      <c r="D15" s="413">
        <v>19</v>
      </c>
      <c r="E15" s="413">
        <v>29</v>
      </c>
      <c r="F15" s="413">
        <v>33</v>
      </c>
      <c r="G15" s="413">
        <v>28</v>
      </c>
      <c r="H15" s="413">
        <v>29</v>
      </c>
      <c r="I15" s="413">
        <v>110</v>
      </c>
      <c r="J15" s="413">
        <v>40</v>
      </c>
      <c r="K15" s="413">
        <v>25</v>
      </c>
      <c r="L15" s="148"/>
      <c r="M15" s="148"/>
      <c r="N15" s="148"/>
      <c r="O15" s="148"/>
      <c r="P15" s="148"/>
      <c r="Q15" s="148"/>
      <c r="R15" s="148"/>
      <c r="S15" s="149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</row>
    <row r="16" spans="2:34" ht="17.25" thickTop="1" thickBot="1">
      <c r="B16" s="272" t="s">
        <v>431</v>
      </c>
      <c r="C16" s="413">
        <v>23</v>
      </c>
      <c r="D16" s="413">
        <v>20</v>
      </c>
      <c r="E16" s="413">
        <v>11</v>
      </c>
      <c r="F16" s="413">
        <v>9</v>
      </c>
      <c r="G16" s="413">
        <v>15</v>
      </c>
      <c r="H16" s="413">
        <v>12</v>
      </c>
      <c r="I16" s="413">
        <v>11</v>
      </c>
      <c r="J16" s="413">
        <v>9</v>
      </c>
      <c r="K16" s="413">
        <v>15</v>
      </c>
      <c r="L16" s="148"/>
      <c r="M16" s="148"/>
      <c r="N16" s="148"/>
      <c r="O16" s="148"/>
      <c r="P16" s="148"/>
      <c r="Q16" s="148"/>
      <c r="R16" s="148"/>
      <c r="S16" s="149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</row>
    <row r="17" spans="2:34" ht="17.25" thickTop="1" thickBot="1">
      <c r="B17" s="272" t="s">
        <v>215</v>
      </c>
      <c r="C17" s="413">
        <v>145</v>
      </c>
      <c r="D17" s="413">
        <v>95</v>
      </c>
      <c r="E17" s="413">
        <v>88</v>
      </c>
      <c r="F17" s="413">
        <v>86</v>
      </c>
      <c r="G17" s="413">
        <v>188</v>
      </c>
      <c r="H17" s="413">
        <v>104</v>
      </c>
      <c r="I17" s="413">
        <v>101</v>
      </c>
      <c r="J17" s="413">
        <v>96</v>
      </c>
      <c r="K17" s="413">
        <v>87</v>
      </c>
      <c r="L17" s="148"/>
      <c r="M17" s="148"/>
      <c r="N17" s="148"/>
      <c r="O17" s="148"/>
      <c r="P17" s="148"/>
      <c r="Q17" s="148"/>
      <c r="R17" s="148"/>
      <c r="S17" s="149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</row>
    <row r="18" spans="2:34" ht="17.25" thickTop="1" thickBot="1">
      <c r="B18" s="272" t="s">
        <v>216</v>
      </c>
      <c r="C18" s="413">
        <v>18</v>
      </c>
      <c r="D18" s="413">
        <v>11</v>
      </c>
      <c r="E18" s="413">
        <v>12</v>
      </c>
      <c r="F18" s="413">
        <v>29</v>
      </c>
      <c r="G18" s="413">
        <v>19</v>
      </c>
      <c r="H18" s="413">
        <v>11</v>
      </c>
      <c r="I18" s="413">
        <v>12</v>
      </c>
      <c r="J18" s="413">
        <v>8</v>
      </c>
      <c r="K18" s="413">
        <v>17</v>
      </c>
      <c r="L18" s="148"/>
      <c r="M18" s="148"/>
      <c r="N18" s="148"/>
      <c r="O18" s="148"/>
      <c r="P18" s="148"/>
      <c r="Q18" s="148"/>
      <c r="R18" s="148"/>
      <c r="S18" s="149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</row>
    <row r="19" spans="2:34" ht="17.25" thickTop="1" thickBot="1">
      <c r="B19" s="272" t="s">
        <v>217</v>
      </c>
      <c r="C19" s="413">
        <v>32</v>
      </c>
      <c r="D19" s="413">
        <v>13</v>
      </c>
      <c r="E19" s="413">
        <v>22</v>
      </c>
      <c r="F19" s="413">
        <v>15</v>
      </c>
      <c r="G19" s="413">
        <v>11</v>
      </c>
      <c r="H19" s="413">
        <v>14</v>
      </c>
      <c r="I19" s="413">
        <v>39</v>
      </c>
      <c r="J19" s="413">
        <v>10</v>
      </c>
      <c r="K19" s="413">
        <v>9</v>
      </c>
      <c r="L19" s="148"/>
      <c r="M19" s="148"/>
      <c r="N19" s="148"/>
      <c r="O19" s="148"/>
      <c r="P19" s="148"/>
      <c r="Q19" s="148"/>
      <c r="R19" s="148"/>
      <c r="S19" s="149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</row>
    <row r="20" spans="2:34" ht="17.25" thickTop="1" thickBot="1">
      <c r="B20" s="272" t="s">
        <v>218</v>
      </c>
      <c r="C20" s="413">
        <v>6</v>
      </c>
      <c r="D20" s="413">
        <v>2</v>
      </c>
      <c r="E20" s="413">
        <v>4</v>
      </c>
      <c r="F20" s="413">
        <v>0</v>
      </c>
      <c r="G20" s="413">
        <v>5</v>
      </c>
      <c r="H20" s="413">
        <v>8</v>
      </c>
      <c r="I20" s="413">
        <v>6</v>
      </c>
      <c r="J20" s="413">
        <v>3</v>
      </c>
      <c r="K20" s="413">
        <v>2</v>
      </c>
      <c r="L20" s="148"/>
      <c r="M20" s="148"/>
      <c r="N20" s="148"/>
      <c r="O20" s="148"/>
      <c r="P20" s="148"/>
      <c r="Q20" s="148"/>
      <c r="R20" s="148"/>
      <c r="S20" s="149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</row>
    <row r="21" spans="2:34" ht="17.25" thickTop="1" thickBot="1">
      <c r="B21" s="272" t="s">
        <v>1105</v>
      </c>
      <c r="C21" s="413">
        <v>33</v>
      </c>
      <c r="D21" s="413">
        <v>36</v>
      </c>
      <c r="E21" s="413">
        <v>13</v>
      </c>
      <c r="F21" s="413">
        <v>22</v>
      </c>
      <c r="G21" s="413">
        <v>59</v>
      </c>
      <c r="H21" s="413">
        <v>42</v>
      </c>
      <c r="I21" s="413">
        <v>26</v>
      </c>
      <c r="J21" s="413">
        <v>40</v>
      </c>
      <c r="K21" s="413">
        <v>75</v>
      </c>
      <c r="L21" s="23"/>
      <c r="M21" s="23"/>
      <c r="N21" s="23"/>
      <c r="O21" s="23"/>
      <c r="P21" s="23"/>
      <c r="Q21" s="23"/>
      <c r="R21" s="23"/>
      <c r="S21" s="149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</row>
    <row r="22" spans="2:34" ht="17.25" thickTop="1" thickBot="1">
      <c r="B22" s="272" t="s">
        <v>220</v>
      </c>
      <c r="C22" s="413">
        <v>22</v>
      </c>
      <c r="D22" s="413">
        <v>6</v>
      </c>
      <c r="E22" s="413">
        <v>11</v>
      </c>
      <c r="F22" s="413">
        <v>13</v>
      </c>
      <c r="G22" s="413">
        <v>31</v>
      </c>
      <c r="H22" s="413">
        <v>39</v>
      </c>
      <c r="I22" s="413">
        <v>29</v>
      </c>
      <c r="J22" s="413">
        <v>20</v>
      </c>
      <c r="K22" s="413">
        <v>22</v>
      </c>
      <c r="L22" s="23"/>
      <c r="M22" s="23"/>
      <c r="N22" s="23"/>
      <c r="O22" s="23"/>
      <c r="P22" s="23"/>
      <c r="Q22" s="23"/>
      <c r="R22" s="23"/>
      <c r="S22" s="149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</row>
    <row r="23" spans="2:34" ht="17.25" thickTop="1" thickBot="1">
      <c r="B23" s="272" t="s">
        <v>221</v>
      </c>
      <c r="C23" s="413">
        <v>15</v>
      </c>
      <c r="D23" s="413">
        <v>16</v>
      </c>
      <c r="E23" s="413">
        <v>25</v>
      </c>
      <c r="F23" s="413">
        <v>21</v>
      </c>
      <c r="G23" s="413">
        <v>12</v>
      </c>
      <c r="H23" s="413">
        <v>7</v>
      </c>
      <c r="I23" s="413">
        <v>10</v>
      </c>
      <c r="J23" s="413">
        <v>11</v>
      </c>
      <c r="K23" s="413">
        <v>3</v>
      </c>
      <c r="L23" s="150"/>
      <c r="M23" s="150"/>
      <c r="N23" s="150"/>
      <c r="O23" s="150"/>
      <c r="P23" s="150"/>
      <c r="Q23" s="150"/>
      <c r="R23" s="150"/>
      <c r="S23" s="149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</row>
    <row r="24" spans="2:34" ht="15" thickTop="1" thickBot="1">
      <c r="B24" s="272" t="s">
        <v>222</v>
      </c>
      <c r="C24" s="413">
        <v>646</v>
      </c>
      <c r="D24" s="413">
        <v>679</v>
      </c>
      <c r="E24" s="413">
        <v>686</v>
      </c>
      <c r="F24" s="413">
        <v>719</v>
      </c>
      <c r="G24" s="413">
        <v>681</v>
      </c>
      <c r="H24" s="413">
        <v>833</v>
      </c>
      <c r="I24" s="413">
        <v>1070</v>
      </c>
      <c r="J24" s="413">
        <v>1041</v>
      </c>
      <c r="K24" s="413">
        <v>902</v>
      </c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</row>
    <row r="25" spans="2:34" ht="14.25" thickTop="1">
      <c r="B25" s="274" t="s">
        <v>223</v>
      </c>
      <c r="C25" s="419">
        <v>50</v>
      </c>
      <c r="D25" s="419">
        <v>26</v>
      </c>
      <c r="E25" s="419">
        <v>32</v>
      </c>
      <c r="F25" s="419">
        <v>46</v>
      </c>
      <c r="G25" s="419">
        <v>48</v>
      </c>
      <c r="H25" s="419">
        <v>52</v>
      </c>
      <c r="I25" s="419">
        <v>35</v>
      </c>
      <c r="J25" s="419">
        <v>38</v>
      </c>
      <c r="K25" s="419">
        <v>35</v>
      </c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2:34" ht="15">
      <c r="B26" s="273"/>
      <c r="C26" s="249"/>
      <c r="D26" s="249"/>
      <c r="E26" s="249"/>
      <c r="F26" s="249"/>
      <c r="G26" s="249"/>
      <c r="H26" s="329"/>
      <c r="I26" s="329"/>
      <c r="J26" s="329"/>
      <c r="K26" s="329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</row>
    <row r="27" spans="2:34" ht="13.5">
      <c r="B27" s="574" t="s">
        <v>185</v>
      </c>
      <c r="C27" s="575"/>
      <c r="D27" s="575"/>
      <c r="E27" s="575"/>
      <c r="F27" s="575"/>
      <c r="G27" s="575"/>
      <c r="H27" s="575"/>
      <c r="I27" s="575"/>
      <c r="J27" s="575"/>
      <c r="K27" s="575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</row>
    <row r="28" spans="2:34" ht="13.5">
      <c r="B28" s="574" t="s">
        <v>1121</v>
      </c>
      <c r="C28" s="575"/>
      <c r="D28" s="575"/>
      <c r="E28" s="575"/>
      <c r="F28" s="575"/>
      <c r="G28" s="575"/>
      <c r="H28" s="575"/>
      <c r="I28" s="575"/>
      <c r="J28" s="575"/>
      <c r="K28" s="575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3.5">
      <c r="B29" s="139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3.5">
      <c r="B30" s="139"/>
      <c r="C30" s="189"/>
      <c r="D30" s="189"/>
      <c r="E30" s="189"/>
    </row>
  </sheetData>
  <mergeCells count="4">
    <mergeCell ref="B2:K2"/>
    <mergeCell ref="B3:K3"/>
    <mergeCell ref="B27:K27"/>
    <mergeCell ref="B28:K28"/>
  </mergeCells>
  <hyperlinks>
    <hyperlink ref="B3:K3" location="'Capitulo 4'!B28" display="Número de BFV pagados según cantón. Provincia de San José. 2005-2018." xr:uid="{00000000-0004-0000-2C00-000000000000}"/>
  </hyperlinks>
  <pageMargins left="0.7" right="0.7" top="0.75" bottom="0.75" header="0.3" footer="0.3"/>
  <pageSetup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B2:M29"/>
  <sheetViews>
    <sheetView showGridLines="0" workbookViewId="0">
      <pane ySplit="4" topLeftCell="A5" activePane="bottomLeft" state="frozen"/>
      <selection pane="bottomLeft" activeCell="B2" sqref="B2:K2"/>
    </sheetView>
  </sheetViews>
  <sheetFormatPr baseColWidth="10" defaultRowHeight="12.75"/>
  <cols>
    <col min="1" max="1" width="11.42578125" style="22"/>
    <col min="2" max="2" width="23" style="22" customWidth="1"/>
    <col min="3" max="3" width="7.5703125" style="22" customWidth="1"/>
    <col min="4" max="4" width="9.5703125" style="22" customWidth="1"/>
    <col min="5" max="5" width="8.42578125" style="22" customWidth="1"/>
    <col min="6" max="6" width="9.5703125" style="22" customWidth="1"/>
    <col min="7" max="7" width="9.85546875" style="22" customWidth="1"/>
    <col min="8" max="8" width="11.42578125" style="22" customWidth="1"/>
    <col min="9" max="16384" width="11.42578125" style="22"/>
  </cols>
  <sheetData>
    <row r="2" spans="2:13" ht="15">
      <c r="B2" s="462" t="s">
        <v>329</v>
      </c>
      <c r="C2" s="462"/>
      <c r="D2" s="462"/>
      <c r="E2" s="462"/>
      <c r="F2" s="462"/>
      <c r="G2" s="462"/>
      <c r="H2" s="462"/>
      <c r="I2" s="462"/>
      <c r="J2" s="462"/>
      <c r="K2" s="462"/>
    </row>
    <row r="3" spans="2:13" ht="23.25" customHeight="1" thickBot="1">
      <c r="B3" s="482" t="s">
        <v>1114</v>
      </c>
      <c r="C3" s="482"/>
      <c r="D3" s="482"/>
      <c r="E3" s="482"/>
      <c r="F3" s="482"/>
      <c r="G3" s="482"/>
      <c r="H3" s="482"/>
      <c r="I3" s="482"/>
      <c r="J3" s="482"/>
      <c r="K3" s="482"/>
    </row>
    <row r="4" spans="2:13" ht="14.25" thickTop="1" thickBot="1">
      <c r="B4" s="327" t="s">
        <v>15</v>
      </c>
      <c r="C4" s="327">
        <v>2010</v>
      </c>
      <c r="D4" s="327">
        <v>2011</v>
      </c>
      <c r="E4" s="327">
        <v>2012</v>
      </c>
      <c r="F4" s="327">
        <v>2013</v>
      </c>
      <c r="G4" s="327">
        <v>2014</v>
      </c>
      <c r="H4" s="327">
        <v>2015</v>
      </c>
      <c r="I4" s="327">
        <v>2016</v>
      </c>
      <c r="J4" s="327">
        <v>2017</v>
      </c>
      <c r="K4" s="327">
        <v>2018</v>
      </c>
    </row>
    <row r="5" spans="2:13" ht="14.25" thickTop="1" thickBot="1">
      <c r="B5" s="272" t="s">
        <v>4</v>
      </c>
      <c r="C5" s="413">
        <f>SUM(C6:C20)</f>
        <v>2253</v>
      </c>
      <c r="D5" s="413">
        <f t="shared" ref="D5:K5" si="0">SUM(D6:D20)</f>
        <v>2070</v>
      </c>
      <c r="E5" s="413">
        <f t="shared" si="0"/>
        <v>1970</v>
      </c>
      <c r="F5" s="413">
        <f t="shared" si="0"/>
        <v>2184</v>
      </c>
      <c r="G5" s="413">
        <f t="shared" si="0"/>
        <v>2073</v>
      </c>
      <c r="H5" s="413">
        <f t="shared" si="0"/>
        <v>2415</v>
      </c>
      <c r="I5" s="413">
        <f t="shared" si="0"/>
        <v>2474</v>
      </c>
      <c r="J5" s="413">
        <f t="shared" si="0"/>
        <v>2214</v>
      </c>
      <c r="K5" s="413">
        <f t="shared" si="0"/>
        <v>2503</v>
      </c>
    </row>
    <row r="6" spans="2:13" ht="14.25" thickTop="1" thickBot="1">
      <c r="B6" s="272" t="s">
        <v>224</v>
      </c>
      <c r="C6" s="413">
        <v>140</v>
      </c>
      <c r="D6" s="413">
        <v>104</v>
      </c>
      <c r="E6" s="413">
        <v>165</v>
      </c>
      <c r="F6" s="413">
        <v>123</v>
      </c>
      <c r="G6" s="413">
        <v>183</v>
      </c>
      <c r="H6" s="413">
        <v>74</v>
      </c>
      <c r="I6" s="413">
        <v>59</v>
      </c>
      <c r="J6" s="413">
        <v>53</v>
      </c>
      <c r="K6" s="413">
        <v>54</v>
      </c>
      <c r="L6" s="189"/>
      <c r="M6" s="189"/>
    </row>
    <row r="7" spans="2:13" ht="14.25" thickTop="1" thickBot="1">
      <c r="B7" s="272" t="s">
        <v>1106</v>
      </c>
      <c r="C7" s="413">
        <v>313</v>
      </c>
      <c r="D7" s="413">
        <v>448</v>
      </c>
      <c r="E7" s="413">
        <v>288</v>
      </c>
      <c r="F7" s="413">
        <v>290</v>
      </c>
      <c r="G7" s="413">
        <v>317</v>
      </c>
      <c r="H7" s="413">
        <v>351</v>
      </c>
      <c r="I7" s="413">
        <v>359</v>
      </c>
      <c r="J7" s="413">
        <v>235</v>
      </c>
      <c r="K7" s="413">
        <v>292</v>
      </c>
    </row>
    <row r="8" spans="2:13" ht="14.25" thickTop="1" thickBot="1">
      <c r="B8" s="272" t="s">
        <v>1107</v>
      </c>
      <c r="C8" s="413">
        <v>134</v>
      </c>
      <c r="D8" s="413">
        <v>138</v>
      </c>
      <c r="E8" s="413">
        <v>102</v>
      </c>
      <c r="F8" s="413">
        <v>143</v>
      </c>
      <c r="G8" s="413">
        <v>141</v>
      </c>
      <c r="H8" s="413">
        <v>141</v>
      </c>
      <c r="I8" s="413">
        <v>128</v>
      </c>
      <c r="J8" s="413">
        <v>172</v>
      </c>
      <c r="K8" s="413">
        <v>138</v>
      </c>
    </row>
    <row r="9" spans="2:13" ht="14.25" thickTop="1" thickBot="1">
      <c r="B9" s="272" t="s">
        <v>1108</v>
      </c>
      <c r="C9" s="413">
        <v>19</v>
      </c>
      <c r="D9" s="413">
        <v>25</v>
      </c>
      <c r="E9" s="413">
        <v>15</v>
      </c>
      <c r="F9" s="413">
        <v>12</v>
      </c>
      <c r="G9" s="413">
        <v>22</v>
      </c>
      <c r="H9" s="413">
        <v>36</v>
      </c>
      <c r="I9" s="413">
        <v>35</v>
      </c>
      <c r="J9" s="413">
        <v>33</v>
      </c>
      <c r="K9" s="413">
        <v>39</v>
      </c>
    </row>
    <row r="10" spans="2:13" ht="14.25" thickTop="1" thickBot="1">
      <c r="B10" s="272" t="s">
        <v>228</v>
      </c>
      <c r="C10" s="413">
        <v>45</v>
      </c>
      <c r="D10" s="413">
        <v>54</v>
      </c>
      <c r="E10" s="413">
        <v>69</v>
      </c>
      <c r="F10" s="413">
        <v>42</v>
      </c>
      <c r="G10" s="413">
        <v>47</v>
      </c>
      <c r="H10" s="413">
        <v>32</v>
      </c>
      <c r="I10" s="413">
        <v>57</v>
      </c>
      <c r="J10" s="413">
        <v>27</v>
      </c>
      <c r="K10" s="413">
        <v>15</v>
      </c>
    </row>
    <row r="11" spans="2:13" ht="14.25" thickTop="1" thickBot="1">
      <c r="B11" s="272" t="s">
        <v>229</v>
      </c>
      <c r="C11" s="413">
        <v>122</v>
      </c>
      <c r="D11" s="413">
        <v>130</v>
      </c>
      <c r="E11" s="413">
        <v>117</v>
      </c>
      <c r="F11" s="413">
        <v>106</v>
      </c>
      <c r="G11" s="413">
        <v>100</v>
      </c>
      <c r="H11" s="413">
        <v>124</v>
      </c>
      <c r="I11" s="413">
        <v>96</v>
      </c>
      <c r="J11" s="413">
        <v>93</v>
      </c>
      <c r="K11" s="413">
        <v>102</v>
      </c>
    </row>
    <row r="12" spans="2:13" ht="14.25" thickTop="1" thickBot="1">
      <c r="B12" s="272" t="s">
        <v>230</v>
      </c>
      <c r="C12" s="413">
        <v>94</v>
      </c>
      <c r="D12" s="413">
        <v>73</v>
      </c>
      <c r="E12" s="413">
        <v>69</v>
      </c>
      <c r="F12" s="413">
        <v>85</v>
      </c>
      <c r="G12" s="413">
        <v>75</v>
      </c>
      <c r="H12" s="413">
        <v>77</v>
      </c>
      <c r="I12" s="413">
        <v>76</v>
      </c>
      <c r="J12" s="413">
        <v>42</v>
      </c>
      <c r="K12" s="413">
        <v>41</v>
      </c>
    </row>
    <row r="13" spans="2:13" ht="14.25" thickTop="1" thickBot="1">
      <c r="B13" s="272" t="s">
        <v>231</v>
      </c>
      <c r="C13" s="413">
        <v>105</v>
      </c>
      <c r="D13" s="413">
        <v>79</v>
      </c>
      <c r="E13" s="413">
        <v>52</v>
      </c>
      <c r="F13" s="413">
        <v>118</v>
      </c>
      <c r="G13" s="413">
        <v>40</v>
      </c>
      <c r="H13" s="413">
        <v>53</v>
      </c>
      <c r="I13" s="413">
        <v>47</v>
      </c>
      <c r="J13" s="413">
        <v>22</v>
      </c>
      <c r="K13" s="413">
        <v>16</v>
      </c>
    </row>
    <row r="14" spans="2:13" ht="14.25" thickTop="1" thickBot="1">
      <c r="B14" s="272" t="s">
        <v>1109</v>
      </c>
      <c r="C14" s="413">
        <v>59</v>
      </c>
      <c r="D14" s="413">
        <v>70</v>
      </c>
      <c r="E14" s="413">
        <v>46</v>
      </c>
      <c r="F14" s="413">
        <v>85</v>
      </c>
      <c r="G14" s="413">
        <v>65</v>
      </c>
      <c r="H14" s="413">
        <v>78</v>
      </c>
      <c r="I14" s="413">
        <v>85</v>
      </c>
      <c r="J14" s="413">
        <v>68</v>
      </c>
      <c r="K14" s="413">
        <v>175</v>
      </c>
    </row>
    <row r="15" spans="2:13" ht="14.25" thickTop="1" thickBot="1">
      <c r="B15" s="272" t="s">
        <v>233</v>
      </c>
      <c r="C15" s="413">
        <v>548</v>
      </c>
      <c r="D15" s="413">
        <v>475</v>
      </c>
      <c r="E15" s="413">
        <v>476</v>
      </c>
      <c r="F15" s="413">
        <v>580</v>
      </c>
      <c r="G15" s="413">
        <v>586</v>
      </c>
      <c r="H15" s="413">
        <v>703</v>
      </c>
      <c r="I15" s="413">
        <v>740</v>
      </c>
      <c r="J15" s="413">
        <v>755</v>
      </c>
      <c r="K15" s="413">
        <v>859</v>
      </c>
    </row>
    <row r="16" spans="2:13" ht="14.25" thickTop="1" thickBot="1">
      <c r="B16" s="272" t="s">
        <v>234</v>
      </c>
      <c r="C16" s="413">
        <v>35</v>
      </c>
      <c r="D16" s="413">
        <v>26</v>
      </c>
      <c r="E16" s="413">
        <v>27</v>
      </c>
      <c r="F16" s="413">
        <v>27</v>
      </c>
      <c r="G16" s="413">
        <v>22</v>
      </c>
      <c r="H16" s="413">
        <v>20</v>
      </c>
      <c r="I16" s="413">
        <v>23</v>
      </c>
      <c r="J16" s="413">
        <v>27</v>
      </c>
      <c r="K16" s="413">
        <v>29</v>
      </c>
    </row>
    <row r="17" spans="2:11" ht="14.25" thickTop="1" thickBot="1">
      <c r="B17" s="272" t="s">
        <v>235</v>
      </c>
      <c r="C17" s="413">
        <v>79</v>
      </c>
      <c r="D17" s="413">
        <v>65</v>
      </c>
      <c r="E17" s="413">
        <v>130</v>
      </c>
      <c r="F17" s="413">
        <v>87</v>
      </c>
      <c r="G17" s="413">
        <v>42</v>
      </c>
      <c r="H17" s="413">
        <v>50</v>
      </c>
      <c r="I17" s="413">
        <v>78</v>
      </c>
      <c r="J17" s="413">
        <v>47</v>
      </c>
      <c r="K17" s="413">
        <v>59</v>
      </c>
    </row>
    <row r="18" spans="2:11" ht="14.25" thickTop="1" thickBot="1">
      <c r="B18" s="272" t="s">
        <v>236</v>
      </c>
      <c r="C18" s="413">
        <v>248</v>
      </c>
      <c r="D18" s="413">
        <v>187</v>
      </c>
      <c r="E18" s="413">
        <v>217</v>
      </c>
      <c r="F18" s="413">
        <v>284</v>
      </c>
      <c r="G18" s="413">
        <v>208</v>
      </c>
      <c r="H18" s="413">
        <v>432</v>
      </c>
      <c r="I18" s="413">
        <v>447</v>
      </c>
      <c r="J18" s="413">
        <v>440</v>
      </c>
      <c r="K18" s="413">
        <v>442</v>
      </c>
    </row>
    <row r="19" spans="2:11" ht="14.25" thickTop="1" thickBot="1">
      <c r="B19" s="272" t="s">
        <v>237</v>
      </c>
      <c r="C19" s="413">
        <v>103</v>
      </c>
      <c r="D19" s="413">
        <v>124</v>
      </c>
      <c r="E19" s="413">
        <v>122</v>
      </c>
      <c r="F19" s="413">
        <v>109</v>
      </c>
      <c r="G19" s="413">
        <v>86</v>
      </c>
      <c r="H19" s="413">
        <v>105</v>
      </c>
      <c r="I19" s="413">
        <v>109</v>
      </c>
      <c r="J19" s="413">
        <v>126</v>
      </c>
      <c r="K19" s="413">
        <v>184</v>
      </c>
    </row>
    <row r="20" spans="2:11" ht="13.5" thickTop="1">
      <c r="B20" s="274" t="s">
        <v>238</v>
      </c>
      <c r="C20" s="419">
        <v>209</v>
      </c>
      <c r="D20" s="419">
        <v>72</v>
      </c>
      <c r="E20" s="419">
        <v>75</v>
      </c>
      <c r="F20" s="419">
        <v>93</v>
      </c>
      <c r="G20" s="419">
        <v>139</v>
      </c>
      <c r="H20" s="419">
        <v>139</v>
      </c>
      <c r="I20" s="419">
        <v>135</v>
      </c>
      <c r="J20" s="419">
        <v>74</v>
      </c>
      <c r="K20" s="419">
        <v>58</v>
      </c>
    </row>
    <row r="21" spans="2:11" ht="14.25">
      <c r="B21" s="273"/>
      <c r="C21" s="249"/>
      <c r="D21" s="249"/>
      <c r="E21" s="249"/>
      <c r="F21" s="249"/>
      <c r="G21" s="249"/>
      <c r="H21" s="329"/>
      <c r="I21" s="329"/>
      <c r="J21" s="329"/>
      <c r="K21" s="329"/>
    </row>
    <row r="22" spans="2:11">
      <c r="B22" s="574" t="s">
        <v>185</v>
      </c>
      <c r="C22" s="575"/>
      <c r="D22" s="575"/>
      <c r="E22" s="575"/>
      <c r="F22" s="575"/>
      <c r="G22" s="575"/>
      <c r="H22" s="575"/>
      <c r="I22" s="575"/>
      <c r="J22" s="575"/>
      <c r="K22" s="575"/>
    </row>
    <row r="23" spans="2:11">
      <c r="B23" s="473" t="s">
        <v>1121</v>
      </c>
      <c r="C23" s="474"/>
      <c r="D23" s="474"/>
      <c r="E23" s="474"/>
      <c r="F23" s="474"/>
      <c r="G23" s="474"/>
      <c r="H23" s="474"/>
      <c r="I23" s="474"/>
      <c r="J23" s="474"/>
      <c r="K23" s="474"/>
    </row>
    <row r="24" spans="2:11" ht="13.5">
      <c r="B24" s="24"/>
    </row>
    <row r="25" spans="2:11" ht="13.5">
      <c r="B25" s="24"/>
    </row>
    <row r="26" spans="2:11" ht="13.5">
      <c r="B26" s="24"/>
    </row>
    <row r="27" spans="2:11" ht="13.5">
      <c r="B27" s="24"/>
    </row>
    <row r="28" spans="2:11" ht="13.5">
      <c r="B28" s="24"/>
    </row>
    <row r="29" spans="2:11" ht="13.5">
      <c r="B29" s="24"/>
    </row>
  </sheetData>
  <mergeCells count="4">
    <mergeCell ref="B2:K2"/>
    <mergeCell ref="B3:K3"/>
    <mergeCell ref="B22:K22"/>
    <mergeCell ref="B23:K23"/>
  </mergeCells>
  <hyperlinks>
    <hyperlink ref="B3:K3" location="'Capitulo 4'!B29" display="Número de BFV pagados según cantón. Provincia de Alajuela. 2005-2018." xr:uid="{00000000-0004-0000-2D00-000000000000}"/>
  </hyperlinks>
  <pageMargins left="0.7" right="0.7" top="0.75" bottom="0.75" header="0.3" footer="0.3"/>
  <pageSetup orientation="portrait" verticalDpi="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B2:V32"/>
  <sheetViews>
    <sheetView showGridLines="0" workbookViewId="0">
      <pane ySplit="4" topLeftCell="A5" activePane="bottomLeft" state="frozen"/>
      <selection pane="bottomLeft" activeCell="F20" sqref="F20"/>
    </sheetView>
  </sheetViews>
  <sheetFormatPr baseColWidth="10" defaultRowHeight="12.75"/>
  <cols>
    <col min="1" max="4" width="11.42578125" style="22"/>
    <col min="5" max="5" width="11.5703125" style="22" bestFit="1" customWidth="1"/>
    <col min="6" max="6" width="12.85546875" style="22" bestFit="1" customWidth="1"/>
    <col min="7" max="7" width="12.42578125" style="22" customWidth="1"/>
    <col min="8" max="11" width="12.85546875" style="22" bestFit="1" customWidth="1"/>
    <col min="12" max="16384" width="11.42578125" style="22"/>
  </cols>
  <sheetData>
    <row r="2" spans="2:22" ht="15.75" customHeight="1">
      <c r="B2" s="462" t="s">
        <v>330</v>
      </c>
      <c r="C2" s="462"/>
      <c r="D2" s="462"/>
      <c r="E2" s="462"/>
      <c r="F2" s="462"/>
      <c r="G2" s="462"/>
      <c r="H2" s="462"/>
      <c r="I2" s="462"/>
      <c r="J2" s="462"/>
      <c r="K2" s="462"/>
      <c r="L2" s="142"/>
      <c r="M2" s="142"/>
      <c r="N2" s="142"/>
      <c r="O2" s="142"/>
      <c r="P2" s="142"/>
      <c r="Q2" s="142"/>
      <c r="R2" s="142"/>
      <c r="S2" s="142"/>
      <c r="T2" s="142"/>
      <c r="U2" s="142"/>
      <c r="V2" s="142"/>
    </row>
    <row r="3" spans="2:22" ht="18.75" customHeight="1" thickBot="1">
      <c r="B3" s="464" t="s">
        <v>1115</v>
      </c>
      <c r="C3" s="464"/>
      <c r="D3" s="464"/>
      <c r="E3" s="464"/>
      <c r="F3" s="464"/>
      <c r="G3" s="464"/>
      <c r="H3" s="464"/>
      <c r="I3" s="464"/>
      <c r="J3" s="464"/>
      <c r="K3" s="464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</row>
    <row r="4" spans="2:22" ht="27" thickTop="1" thickBot="1">
      <c r="B4" s="327" t="s">
        <v>595</v>
      </c>
      <c r="C4" s="327" t="s">
        <v>4</v>
      </c>
      <c r="D4" s="327" t="s">
        <v>175</v>
      </c>
      <c r="E4" s="327" t="s">
        <v>239</v>
      </c>
      <c r="F4" s="327" t="s">
        <v>240</v>
      </c>
      <c r="G4" s="327" t="s">
        <v>1112</v>
      </c>
      <c r="H4" s="327" t="s">
        <v>1111</v>
      </c>
      <c r="I4" s="327" t="s">
        <v>241</v>
      </c>
      <c r="J4" s="327" t="s">
        <v>242</v>
      </c>
      <c r="K4" s="327" t="s">
        <v>1110</v>
      </c>
      <c r="M4" s="153"/>
    </row>
    <row r="5" spans="2:22" ht="14.25" thickTop="1" thickBot="1">
      <c r="B5" s="250">
        <v>2010</v>
      </c>
      <c r="C5" s="413">
        <f t="shared" ref="C5:C13" si="0">SUM(D5:K5)</f>
        <v>1466</v>
      </c>
      <c r="D5" s="413">
        <v>229</v>
      </c>
      <c r="E5" s="413">
        <v>235</v>
      </c>
      <c r="F5" s="413">
        <v>45</v>
      </c>
      <c r="G5" s="413">
        <v>68</v>
      </c>
      <c r="H5" s="413">
        <v>366</v>
      </c>
      <c r="I5" s="413">
        <v>74</v>
      </c>
      <c r="J5" s="413">
        <v>386</v>
      </c>
      <c r="K5" s="413">
        <v>63</v>
      </c>
      <c r="L5" s="153"/>
    </row>
    <row r="6" spans="2:22" ht="14.25" thickTop="1" thickBot="1">
      <c r="B6" s="250">
        <v>2011</v>
      </c>
      <c r="C6" s="413">
        <f t="shared" si="0"/>
        <v>1446</v>
      </c>
      <c r="D6" s="413">
        <v>240</v>
      </c>
      <c r="E6" s="413">
        <v>114</v>
      </c>
      <c r="F6" s="413">
        <v>107</v>
      </c>
      <c r="G6" s="413">
        <v>95</v>
      </c>
      <c r="H6" s="413">
        <v>499</v>
      </c>
      <c r="I6" s="413">
        <v>101</v>
      </c>
      <c r="J6" s="413">
        <v>230</v>
      </c>
      <c r="K6" s="413">
        <v>60</v>
      </c>
      <c r="L6" s="153"/>
    </row>
    <row r="7" spans="2:22" ht="14.25" thickTop="1" thickBot="1">
      <c r="B7" s="250">
        <v>2012</v>
      </c>
      <c r="C7" s="413">
        <f t="shared" si="0"/>
        <v>1272</v>
      </c>
      <c r="D7" s="413">
        <v>245</v>
      </c>
      <c r="E7" s="413">
        <v>280</v>
      </c>
      <c r="F7" s="413">
        <v>68</v>
      </c>
      <c r="G7" s="413">
        <v>71</v>
      </c>
      <c r="H7" s="413">
        <v>417</v>
      </c>
      <c r="I7" s="413">
        <v>74</v>
      </c>
      <c r="J7" s="413">
        <v>76</v>
      </c>
      <c r="K7" s="413">
        <v>41</v>
      </c>
      <c r="L7" s="153"/>
    </row>
    <row r="8" spans="2:22" ht="14.25" thickTop="1" thickBot="1">
      <c r="B8" s="250">
        <v>2013</v>
      </c>
      <c r="C8" s="413">
        <f t="shared" si="0"/>
        <v>1404</v>
      </c>
      <c r="D8" s="413">
        <v>475</v>
      </c>
      <c r="E8" s="413">
        <v>279</v>
      </c>
      <c r="F8" s="413">
        <v>39</v>
      </c>
      <c r="G8" s="413">
        <v>79</v>
      </c>
      <c r="H8" s="413">
        <v>321</v>
      </c>
      <c r="I8" s="413">
        <v>89</v>
      </c>
      <c r="J8" s="413">
        <v>63</v>
      </c>
      <c r="K8" s="413">
        <v>59</v>
      </c>
      <c r="L8" s="153"/>
    </row>
    <row r="9" spans="2:22" ht="14.25" thickTop="1" thickBot="1">
      <c r="B9" s="253">
        <v>2014</v>
      </c>
      <c r="C9" s="413">
        <f t="shared" si="0"/>
        <v>1045</v>
      </c>
      <c r="D9" s="413">
        <v>153</v>
      </c>
      <c r="E9" s="413">
        <v>235</v>
      </c>
      <c r="F9" s="413">
        <v>32</v>
      </c>
      <c r="G9" s="413">
        <v>106</v>
      </c>
      <c r="H9" s="413">
        <v>291</v>
      </c>
      <c r="I9" s="413">
        <v>101</v>
      </c>
      <c r="J9" s="413">
        <v>74</v>
      </c>
      <c r="K9" s="413">
        <v>53</v>
      </c>
      <c r="L9" s="153"/>
    </row>
    <row r="10" spans="2:22" ht="14.25" thickTop="1" thickBot="1">
      <c r="B10" s="253">
        <v>2015</v>
      </c>
      <c r="C10" s="413">
        <f t="shared" si="0"/>
        <v>1131</v>
      </c>
      <c r="D10" s="413">
        <v>150</v>
      </c>
      <c r="E10" s="413">
        <v>293</v>
      </c>
      <c r="F10" s="413">
        <v>40</v>
      </c>
      <c r="G10" s="413">
        <v>155</v>
      </c>
      <c r="H10" s="413">
        <v>242</v>
      </c>
      <c r="I10" s="413">
        <v>145</v>
      </c>
      <c r="J10" s="413">
        <v>64</v>
      </c>
      <c r="K10" s="413">
        <v>42</v>
      </c>
      <c r="L10" s="153"/>
    </row>
    <row r="11" spans="2:22" ht="14.25" thickTop="1" thickBot="1">
      <c r="B11" s="253">
        <v>2016</v>
      </c>
      <c r="C11" s="413">
        <f t="shared" si="0"/>
        <v>1041</v>
      </c>
      <c r="D11" s="413">
        <v>162</v>
      </c>
      <c r="E11" s="413">
        <v>236</v>
      </c>
      <c r="F11" s="413">
        <v>18</v>
      </c>
      <c r="G11" s="413">
        <v>92</v>
      </c>
      <c r="H11" s="413">
        <v>287</v>
      </c>
      <c r="I11" s="413">
        <v>117</v>
      </c>
      <c r="J11" s="413">
        <v>74</v>
      </c>
      <c r="K11" s="413">
        <v>55</v>
      </c>
      <c r="L11" s="153"/>
    </row>
    <row r="12" spans="2:22" ht="14.25" thickTop="1" thickBot="1">
      <c r="B12" s="253">
        <v>2017</v>
      </c>
      <c r="C12" s="413">
        <f t="shared" si="0"/>
        <v>959</v>
      </c>
      <c r="D12" s="413">
        <v>138</v>
      </c>
      <c r="E12" s="413">
        <v>147</v>
      </c>
      <c r="F12" s="413">
        <v>25</v>
      </c>
      <c r="G12" s="413">
        <v>87</v>
      </c>
      <c r="H12" s="413">
        <v>335</v>
      </c>
      <c r="I12" s="413">
        <v>106</v>
      </c>
      <c r="J12" s="413">
        <v>69</v>
      </c>
      <c r="K12" s="413">
        <v>52</v>
      </c>
      <c r="L12" s="153"/>
    </row>
    <row r="13" spans="2:22" ht="14.25" thickTop="1" thickBot="1">
      <c r="B13" s="253">
        <v>2018</v>
      </c>
      <c r="C13" s="413">
        <f t="shared" si="0"/>
        <v>797</v>
      </c>
      <c r="D13" s="413">
        <v>169</v>
      </c>
      <c r="E13" s="413">
        <v>117</v>
      </c>
      <c r="F13" s="413">
        <v>25</v>
      </c>
      <c r="G13" s="413">
        <v>61</v>
      </c>
      <c r="H13" s="413">
        <v>209</v>
      </c>
      <c r="I13" s="413">
        <v>88</v>
      </c>
      <c r="J13" s="413">
        <v>80</v>
      </c>
      <c r="K13" s="413">
        <v>48</v>
      </c>
      <c r="L13" s="153"/>
    </row>
    <row r="14" spans="2:22" ht="15.75" thickTop="1" thickBot="1">
      <c r="B14" s="248"/>
      <c r="C14" s="339"/>
      <c r="D14" s="339"/>
      <c r="E14" s="339"/>
      <c r="F14" s="339"/>
      <c r="G14" s="339"/>
      <c r="H14" s="339"/>
      <c r="I14" s="339"/>
      <c r="J14" s="339"/>
      <c r="K14" s="339"/>
      <c r="L14" s="153"/>
    </row>
    <row r="15" spans="2:22" ht="14.25" thickTop="1" thickBot="1">
      <c r="B15" s="478" t="s">
        <v>185</v>
      </c>
      <c r="C15" s="479"/>
      <c r="D15" s="479"/>
      <c r="E15" s="479"/>
      <c r="F15" s="479"/>
      <c r="G15" s="479"/>
      <c r="H15" s="479"/>
      <c r="I15" s="479"/>
      <c r="J15" s="479"/>
      <c r="K15" s="479"/>
      <c r="L15" s="153"/>
    </row>
    <row r="16" spans="2:22" ht="24" customHeight="1" thickTop="1" thickBot="1">
      <c r="B16" s="576" t="s">
        <v>1121</v>
      </c>
      <c r="C16" s="577"/>
      <c r="D16" s="577"/>
      <c r="E16" s="577"/>
      <c r="F16" s="577"/>
      <c r="G16" s="577"/>
      <c r="H16" s="577"/>
      <c r="I16" s="577"/>
      <c r="J16" s="577"/>
      <c r="K16" s="577"/>
      <c r="L16" s="153"/>
    </row>
    <row r="17" spans="2:12" ht="14.25" thickTop="1">
      <c r="B17" s="155"/>
      <c r="C17" s="139"/>
      <c r="D17" s="139"/>
      <c r="E17" s="139"/>
      <c r="F17" s="139"/>
      <c r="G17" s="139"/>
      <c r="H17" s="139"/>
      <c r="I17" s="139"/>
      <c r="J17" s="139"/>
      <c r="K17" s="139"/>
      <c r="L17" s="153"/>
    </row>
    <row r="18" spans="2:12">
      <c r="B18" s="154"/>
      <c r="C18" s="199"/>
      <c r="D18" s="199"/>
      <c r="E18" s="152"/>
      <c r="F18" s="152"/>
      <c r="G18" s="152"/>
      <c r="H18" s="152"/>
      <c r="I18" s="152"/>
      <c r="J18" s="152"/>
      <c r="K18" s="152"/>
      <c r="L18" s="153"/>
    </row>
    <row r="19" spans="2:12">
      <c r="B19" s="154"/>
      <c r="C19" s="152"/>
      <c r="D19" s="172"/>
      <c r="E19" s="152"/>
      <c r="F19" s="152"/>
      <c r="G19" s="152"/>
      <c r="H19" s="152"/>
      <c r="I19" s="152"/>
      <c r="J19" s="152"/>
      <c r="K19" s="152"/>
      <c r="L19" s="153"/>
    </row>
    <row r="20" spans="2:12">
      <c r="B20" s="154"/>
      <c r="C20" s="152"/>
      <c r="D20" s="152"/>
      <c r="E20" s="152"/>
      <c r="F20" s="152"/>
      <c r="G20" s="152"/>
      <c r="H20" s="152"/>
      <c r="I20" s="152"/>
      <c r="J20" s="152"/>
      <c r="K20" s="152"/>
      <c r="L20" s="153"/>
    </row>
    <row r="21" spans="2:12">
      <c r="B21" s="154"/>
      <c r="C21" s="152"/>
      <c r="D21" s="152"/>
      <c r="E21" s="152"/>
      <c r="F21" s="152"/>
      <c r="G21" s="152"/>
      <c r="H21" s="152"/>
      <c r="I21" s="152"/>
      <c r="J21" s="152"/>
      <c r="K21" s="152"/>
      <c r="L21" s="153"/>
    </row>
    <row r="22" spans="2:12">
      <c r="B22" s="154"/>
      <c r="C22" s="152"/>
      <c r="D22" s="152"/>
      <c r="E22" s="152"/>
      <c r="F22" s="152"/>
      <c r="G22" s="152"/>
      <c r="H22" s="152"/>
      <c r="I22" s="152"/>
      <c r="J22" s="152"/>
      <c r="K22" s="152"/>
      <c r="L22" s="153"/>
    </row>
    <row r="23" spans="2:12">
      <c r="B23" s="154"/>
      <c r="C23" s="152"/>
      <c r="D23" s="152"/>
      <c r="E23" s="152"/>
      <c r="F23" s="152"/>
      <c r="G23" s="152"/>
      <c r="H23" s="152"/>
      <c r="I23" s="152"/>
      <c r="J23" s="152"/>
      <c r="K23" s="152"/>
      <c r="L23" s="153"/>
    </row>
    <row r="24" spans="2:12">
      <c r="B24" s="154"/>
      <c r="C24" s="152"/>
      <c r="D24" s="152"/>
      <c r="E24" s="152"/>
      <c r="F24" s="152"/>
      <c r="G24" s="152"/>
      <c r="H24" s="152"/>
      <c r="I24" s="152"/>
      <c r="J24" s="152"/>
      <c r="K24" s="152"/>
      <c r="L24" s="153"/>
    </row>
    <row r="25" spans="2:12">
      <c r="B25" s="154"/>
      <c r="C25" s="152"/>
      <c r="D25" s="152"/>
      <c r="E25" s="152"/>
      <c r="F25" s="152"/>
      <c r="G25" s="152"/>
      <c r="H25" s="152"/>
      <c r="I25" s="152"/>
      <c r="J25" s="152"/>
      <c r="K25" s="152"/>
      <c r="L25" s="153"/>
    </row>
    <row r="26" spans="2:12">
      <c r="B26" s="154"/>
      <c r="C26" s="152"/>
      <c r="D26" s="152"/>
      <c r="E26" s="152"/>
      <c r="F26" s="152"/>
      <c r="G26" s="152"/>
      <c r="H26" s="152"/>
      <c r="I26" s="152"/>
      <c r="J26" s="152"/>
      <c r="K26" s="152"/>
      <c r="L26" s="153"/>
    </row>
    <row r="27" spans="2:12">
      <c r="B27" s="154"/>
      <c r="C27" s="152"/>
      <c r="D27" s="152"/>
      <c r="E27" s="152"/>
      <c r="F27" s="152"/>
      <c r="G27" s="152"/>
      <c r="H27" s="152"/>
      <c r="I27" s="152"/>
      <c r="J27" s="152"/>
      <c r="K27" s="152"/>
      <c r="L27" s="153"/>
    </row>
    <row r="28" spans="2:12">
      <c r="B28" s="154"/>
      <c r="C28" s="152"/>
      <c r="D28" s="152"/>
      <c r="E28" s="152"/>
      <c r="F28" s="152"/>
      <c r="G28" s="152"/>
      <c r="H28" s="152"/>
      <c r="I28" s="152"/>
      <c r="J28" s="152"/>
      <c r="K28" s="152"/>
      <c r="L28" s="153"/>
    </row>
    <row r="29" spans="2:12">
      <c r="B29" s="154"/>
      <c r="C29" s="152"/>
      <c r="D29" s="152"/>
      <c r="E29" s="152"/>
      <c r="F29" s="152"/>
      <c r="G29" s="152"/>
      <c r="H29" s="152"/>
      <c r="I29" s="152"/>
      <c r="J29" s="152"/>
      <c r="K29" s="152"/>
      <c r="L29" s="153"/>
    </row>
    <row r="30" spans="2:12">
      <c r="B30" s="154"/>
      <c r="C30" s="152"/>
      <c r="D30" s="152"/>
      <c r="E30" s="152"/>
      <c r="F30" s="152"/>
      <c r="G30" s="152"/>
      <c r="H30" s="152"/>
      <c r="I30" s="152"/>
      <c r="J30" s="152"/>
      <c r="K30" s="152"/>
      <c r="L30" s="153"/>
    </row>
    <row r="31" spans="2:12">
      <c r="B31" s="154"/>
      <c r="C31" s="152"/>
      <c r="D31" s="152"/>
      <c r="E31" s="152"/>
      <c r="F31" s="152"/>
      <c r="G31" s="152"/>
      <c r="H31" s="152"/>
      <c r="I31" s="152"/>
      <c r="J31" s="152"/>
      <c r="K31" s="152"/>
      <c r="L31" s="153"/>
    </row>
    <row r="32" spans="2:12">
      <c r="B32" s="154"/>
      <c r="C32" s="152"/>
      <c r="D32" s="152"/>
      <c r="E32" s="152"/>
      <c r="F32" s="152"/>
      <c r="G32" s="152"/>
      <c r="H32" s="152"/>
      <c r="I32" s="152"/>
      <c r="J32" s="152"/>
      <c r="K32" s="152"/>
      <c r="L32" s="153"/>
    </row>
  </sheetData>
  <mergeCells count="4">
    <mergeCell ref="B2:K2"/>
    <mergeCell ref="B3:K3"/>
    <mergeCell ref="B16:K16"/>
    <mergeCell ref="B15:K15"/>
  </mergeCells>
  <hyperlinks>
    <hyperlink ref="B3:K3" location="'Capitulo 4'!B30" display="Número de BFV pagados por cantón. Provincia de Cartago. 2005-2018." xr:uid="{00000000-0004-0000-2E00-000000000000}"/>
  </hyperlinks>
  <pageMargins left="0.70866141732283472" right="0.70866141732283472" top="0.74803149606299213" bottom="0.74803149606299213" header="0.31496062992125984" footer="0.31496062992125984"/>
  <pageSetup scale="85" orientation="landscape" verticalDpi="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B2:N19"/>
  <sheetViews>
    <sheetView showGridLines="0" workbookViewId="0">
      <pane ySplit="4" topLeftCell="A5" activePane="bottomLeft" state="frozen"/>
      <selection pane="bottomLeft" activeCell="I20" sqref="I20"/>
    </sheetView>
  </sheetViews>
  <sheetFormatPr baseColWidth="10" defaultRowHeight="12.75"/>
  <cols>
    <col min="1" max="5" width="11.42578125" style="22"/>
    <col min="6" max="6" width="18.7109375" style="22" customWidth="1"/>
    <col min="7" max="7" width="18.140625" style="22" bestFit="1" customWidth="1"/>
    <col min="8" max="8" width="15.42578125" style="22" bestFit="1" customWidth="1"/>
    <col min="9" max="9" width="14.140625" style="22" bestFit="1" customWidth="1"/>
    <col min="10" max="10" width="9" style="22" bestFit="1" customWidth="1"/>
    <col min="11" max="11" width="10.28515625" style="22" bestFit="1" customWidth="1"/>
    <col min="12" max="13" width="12.85546875" style="22" bestFit="1" customWidth="1"/>
    <col min="14" max="16384" width="11.42578125" style="22"/>
  </cols>
  <sheetData>
    <row r="2" spans="2:14" ht="17.25" customHeight="1">
      <c r="B2" s="462" t="s">
        <v>331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</row>
    <row r="3" spans="2:14" ht="22.5" customHeight="1" thickBot="1">
      <c r="B3" s="464" t="s">
        <v>1116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</row>
    <row r="4" spans="2:14" ht="14.25" thickTop="1" thickBot="1">
      <c r="B4" s="327" t="s">
        <v>1093</v>
      </c>
      <c r="C4" s="327" t="s">
        <v>4</v>
      </c>
      <c r="D4" s="327" t="s">
        <v>176</v>
      </c>
      <c r="E4" s="327" t="s">
        <v>243</v>
      </c>
      <c r="F4" s="327" t="s">
        <v>244</v>
      </c>
      <c r="G4" s="327" t="s">
        <v>245</v>
      </c>
      <c r="H4" s="327" t="s">
        <v>246</v>
      </c>
      <c r="I4" s="327" t="s">
        <v>247</v>
      </c>
      <c r="J4" s="327" t="s">
        <v>248</v>
      </c>
      <c r="K4" s="327" t="s">
        <v>249</v>
      </c>
      <c r="L4" s="327" t="s">
        <v>250</v>
      </c>
      <c r="M4" s="327" t="s">
        <v>65</v>
      </c>
    </row>
    <row r="5" spans="2:14" ht="14.25" thickTop="1" thickBot="1">
      <c r="B5" s="250">
        <v>2010</v>
      </c>
      <c r="C5" s="413">
        <f t="shared" ref="C5:C13" si="0">SUM(D5:M5)</f>
        <v>390</v>
      </c>
      <c r="D5" s="413">
        <v>49</v>
      </c>
      <c r="E5" s="413">
        <v>13</v>
      </c>
      <c r="F5" s="413">
        <v>7</v>
      </c>
      <c r="G5" s="413">
        <v>18</v>
      </c>
      <c r="H5" s="413">
        <v>6</v>
      </c>
      <c r="I5" s="413">
        <v>6</v>
      </c>
      <c r="J5" s="413">
        <v>2</v>
      </c>
      <c r="K5" s="413">
        <v>6</v>
      </c>
      <c r="L5" s="413">
        <v>3</v>
      </c>
      <c r="M5" s="413">
        <v>280</v>
      </c>
      <c r="N5" s="156"/>
    </row>
    <row r="6" spans="2:14" ht="14.25" thickTop="1" thickBot="1">
      <c r="B6" s="250">
        <v>2011</v>
      </c>
      <c r="C6" s="413">
        <f t="shared" si="0"/>
        <v>373</v>
      </c>
      <c r="D6" s="413">
        <v>22</v>
      </c>
      <c r="E6" s="413">
        <v>13</v>
      </c>
      <c r="F6" s="413">
        <v>9</v>
      </c>
      <c r="G6" s="413">
        <v>15</v>
      </c>
      <c r="H6" s="413">
        <v>10</v>
      </c>
      <c r="I6" s="413">
        <v>8</v>
      </c>
      <c r="J6" s="413">
        <v>6</v>
      </c>
      <c r="K6" s="413">
        <v>6</v>
      </c>
      <c r="L6" s="413">
        <v>4</v>
      </c>
      <c r="M6" s="413">
        <v>280</v>
      </c>
      <c r="N6" s="156"/>
    </row>
    <row r="7" spans="2:14" ht="14.25" thickTop="1" thickBot="1">
      <c r="B7" s="250">
        <v>2012</v>
      </c>
      <c r="C7" s="413">
        <f t="shared" si="0"/>
        <v>426</v>
      </c>
      <c r="D7" s="413">
        <v>160</v>
      </c>
      <c r="E7" s="413">
        <v>4</v>
      </c>
      <c r="F7" s="413">
        <v>6</v>
      </c>
      <c r="G7" s="413">
        <v>11</v>
      </c>
      <c r="H7" s="413">
        <v>12</v>
      </c>
      <c r="I7" s="413">
        <v>1</v>
      </c>
      <c r="J7" s="413">
        <v>2</v>
      </c>
      <c r="K7" s="413">
        <v>6</v>
      </c>
      <c r="L7" s="413">
        <v>1</v>
      </c>
      <c r="M7" s="413">
        <v>223</v>
      </c>
      <c r="N7" s="156"/>
    </row>
    <row r="8" spans="2:14" ht="14.25" thickTop="1" thickBot="1">
      <c r="B8" s="250">
        <v>2013</v>
      </c>
      <c r="C8" s="413">
        <f t="shared" si="0"/>
        <v>492</v>
      </c>
      <c r="D8" s="413">
        <v>48</v>
      </c>
      <c r="E8" s="413">
        <v>13</v>
      </c>
      <c r="F8" s="413">
        <v>148</v>
      </c>
      <c r="G8" s="413">
        <v>11</v>
      </c>
      <c r="H8" s="413">
        <v>15</v>
      </c>
      <c r="I8" s="413">
        <v>2</v>
      </c>
      <c r="J8" s="413">
        <v>1</v>
      </c>
      <c r="K8" s="413">
        <v>1</v>
      </c>
      <c r="L8" s="413">
        <v>3</v>
      </c>
      <c r="M8" s="413">
        <v>250</v>
      </c>
      <c r="N8" s="156"/>
    </row>
    <row r="9" spans="2:14" ht="14.25" thickTop="1" thickBot="1">
      <c r="B9" s="253">
        <v>2014</v>
      </c>
      <c r="C9" s="413">
        <f t="shared" si="0"/>
        <v>526</v>
      </c>
      <c r="D9" s="419">
        <v>167</v>
      </c>
      <c r="E9" s="419">
        <v>10</v>
      </c>
      <c r="F9" s="419">
        <v>10</v>
      </c>
      <c r="G9" s="419">
        <v>10</v>
      </c>
      <c r="H9" s="419">
        <v>15</v>
      </c>
      <c r="I9" s="419">
        <v>1</v>
      </c>
      <c r="J9" s="419">
        <v>5</v>
      </c>
      <c r="K9" s="419">
        <v>2</v>
      </c>
      <c r="L9" s="419">
        <v>5</v>
      </c>
      <c r="M9" s="419">
        <v>301</v>
      </c>
      <c r="N9" s="156"/>
    </row>
    <row r="10" spans="2:14" ht="14.25" thickTop="1" thickBot="1">
      <c r="B10" s="253">
        <v>2015</v>
      </c>
      <c r="C10" s="413">
        <f t="shared" si="0"/>
        <v>530</v>
      </c>
      <c r="D10" s="419">
        <v>169</v>
      </c>
      <c r="E10" s="419">
        <v>9</v>
      </c>
      <c r="F10" s="419">
        <v>22</v>
      </c>
      <c r="G10" s="419">
        <v>17</v>
      </c>
      <c r="H10" s="419">
        <v>9</v>
      </c>
      <c r="I10" s="419">
        <v>5</v>
      </c>
      <c r="J10" s="419">
        <v>1</v>
      </c>
      <c r="K10" s="419">
        <v>4</v>
      </c>
      <c r="L10" s="419">
        <v>3</v>
      </c>
      <c r="M10" s="419">
        <v>291</v>
      </c>
      <c r="N10" s="156"/>
    </row>
    <row r="11" spans="2:14" ht="14.25" thickTop="1" thickBot="1">
      <c r="B11" s="253">
        <v>2016</v>
      </c>
      <c r="C11" s="413">
        <f t="shared" si="0"/>
        <v>506</v>
      </c>
      <c r="D11" s="419">
        <v>91</v>
      </c>
      <c r="E11" s="419">
        <v>7</v>
      </c>
      <c r="F11" s="419">
        <v>8</v>
      </c>
      <c r="G11" s="419">
        <v>13</v>
      </c>
      <c r="H11" s="419">
        <v>6</v>
      </c>
      <c r="I11" s="419">
        <v>3</v>
      </c>
      <c r="J11" s="419">
        <v>2</v>
      </c>
      <c r="K11" s="419">
        <v>5</v>
      </c>
      <c r="L11" s="419">
        <v>2</v>
      </c>
      <c r="M11" s="419">
        <v>369</v>
      </c>
      <c r="N11" s="156"/>
    </row>
    <row r="12" spans="2:14" ht="14.25" thickTop="1" thickBot="1">
      <c r="B12" s="253">
        <v>2017</v>
      </c>
      <c r="C12" s="413">
        <f t="shared" si="0"/>
        <v>568</v>
      </c>
      <c r="D12" s="419">
        <v>72</v>
      </c>
      <c r="E12" s="419">
        <v>7</v>
      </c>
      <c r="F12" s="419">
        <v>8</v>
      </c>
      <c r="G12" s="419">
        <v>10</v>
      </c>
      <c r="H12" s="419">
        <v>9</v>
      </c>
      <c r="I12" s="419">
        <v>3</v>
      </c>
      <c r="J12" s="419">
        <v>4</v>
      </c>
      <c r="K12" s="419">
        <v>3</v>
      </c>
      <c r="L12" s="419">
        <v>1</v>
      </c>
      <c r="M12" s="419">
        <v>451</v>
      </c>
      <c r="N12" s="211"/>
    </row>
    <row r="13" spans="2:14" ht="14.25" thickTop="1" thickBot="1">
      <c r="B13" s="253">
        <v>2018</v>
      </c>
      <c r="C13" s="413">
        <f t="shared" si="0"/>
        <v>553</v>
      </c>
      <c r="D13" s="419">
        <v>29</v>
      </c>
      <c r="E13" s="419">
        <v>6</v>
      </c>
      <c r="F13" s="419">
        <v>4</v>
      </c>
      <c r="G13" s="419">
        <v>14</v>
      </c>
      <c r="H13" s="419">
        <v>6</v>
      </c>
      <c r="I13" s="419">
        <v>5</v>
      </c>
      <c r="J13" s="419">
        <v>40</v>
      </c>
      <c r="K13" s="419">
        <v>2</v>
      </c>
      <c r="L13" s="419">
        <v>2</v>
      </c>
      <c r="M13" s="419">
        <v>445</v>
      </c>
      <c r="N13" s="211"/>
    </row>
    <row r="14" spans="2:14" ht="15.75" thickTop="1" thickBot="1">
      <c r="B14" s="248"/>
      <c r="C14" s="249"/>
      <c r="D14" s="249"/>
      <c r="E14" s="249"/>
      <c r="F14" s="249"/>
      <c r="G14" s="249"/>
      <c r="H14" s="249"/>
      <c r="I14" s="249"/>
      <c r="J14" s="249"/>
      <c r="K14" s="249"/>
      <c r="L14" s="249"/>
      <c r="M14" s="249"/>
      <c r="N14" s="211"/>
    </row>
    <row r="15" spans="2:14" ht="14.25" thickTop="1" thickBot="1">
      <c r="B15" s="466" t="s">
        <v>185</v>
      </c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156"/>
    </row>
    <row r="16" spans="2:14" ht="13.5" customHeight="1" thickTop="1" thickBot="1">
      <c r="B16" s="466" t="s">
        <v>1121</v>
      </c>
      <c r="C16" s="467"/>
      <c r="D16" s="467"/>
      <c r="E16" s="467"/>
      <c r="F16" s="467"/>
      <c r="G16" s="467"/>
      <c r="H16" s="467"/>
      <c r="I16" s="467"/>
      <c r="J16" s="467"/>
      <c r="K16" s="467"/>
      <c r="L16" s="467"/>
      <c r="M16" s="467"/>
    </row>
    <row r="17" spans="2:14" ht="15" thickTop="1" thickBot="1"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42"/>
    </row>
    <row r="18" spans="2:14" ht="14.25" thickTop="1" thickBot="1">
      <c r="C18" s="578"/>
      <c r="D18" s="579"/>
      <c r="E18" s="579"/>
      <c r="F18" s="579"/>
      <c r="G18" s="579"/>
      <c r="H18" s="579"/>
      <c r="I18" s="579"/>
      <c r="J18" s="579"/>
      <c r="K18" s="579"/>
      <c r="L18" s="579"/>
      <c r="M18" s="579"/>
      <c r="N18" s="579"/>
    </row>
    <row r="19" spans="2:14" ht="13.5" thickTop="1">
      <c r="D19" s="134"/>
    </row>
  </sheetData>
  <mergeCells count="5">
    <mergeCell ref="C18:N18"/>
    <mergeCell ref="B2:M2"/>
    <mergeCell ref="B3:M3"/>
    <mergeCell ref="B16:M16"/>
    <mergeCell ref="B15:M15"/>
  </mergeCells>
  <hyperlinks>
    <hyperlink ref="B3:M3" location="'Capitulo 4'!B31" display="Número de BFV pagados por cantón. Provincia de Heredia. 2005-2018." xr:uid="{00000000-0004-0000-2F00-000000000000}"/>
  </hyperlinks>
  <pageMargins left="0.70866141732283472" right="0.70866141732283472" top="0.74803149606299213" bottom="0.74803149606299213" header="0.31496062992125984" footer="0.31496062992125984"/>
  <pageSetup scale="90" orientation="landscape" verticalDpi="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B2:N20"/>
  <sheetViews>
    <sheetView showGridLines="0" workbookViewId="0">
      <pane ySplit="4" topLeftCell="A5" activePane="bottomLeft" state="frozen"/>
      <selection pane="bottomLeft" activeCell="B2" sqref="B2:N2"/>
    </sheetView>
  </sheetViews>
  <sheetFormatPr baseColWidth="10" defaultRowHeight="12.75"/>
  <cols>
    <col min="1" max="3" width="11.42578125" style="22"/>
    <col min="4" max="4" width="10.28515625" style="22" bestFit="1" customWidth="1"/>
    <col min="5" max="5" width="9" style="22" bestFit="1" customWidth="1"/>
    <col min="6" max="6" width="12.85546875" style="22" bestFit="1" customWidth="1"/>
    <col min="7" max="7" width="10.28515625" style="22" bestFit="1" customWidth="1"/>
    <col min="8" max="8" width="11.5703125" style="22" bestFit="1" customWidth="1"/>
    <col min="9" max="9" width="7.7109375" style="22" bestFit="1" customWidth="1"/>
    <col min="10" max="10" width="12.85546875" style="22" bestFit="1" customWidth="1"/>
    <col min="11" max="11" width="10.28515625" style="22" bestFit="1" customWidth="1"/>
    <col min="12" max="12" width="12.85546875" style="22" bestFit="1" customWidth="1"/>
    <col min="13" max="13" width="10.28515625" style="22" bestFit="1" customWidth="1"/>
    <col min="14" max="14" width="11.5703125" style="22" bestFit="1" customWidth="1"/>
    <col min="15" max="16384" width="11.42578125" style="22"/>
  </cols>
  <sheetData>
    <row r="2" spans="2:14" ht="17.25" customHeight="1">
      <c r="B2" s="462" t="s">
        <v>332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</row>
    <row r="3" spans="2:14" ht="19.5" customHeight="1" thickBot="1">
      <c r="B3" s="464" t="s">
        <v>1117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</row>
    <row r="4" spans="2:14" ht="14.25" thickTop="1" thickBot="1">
      <c r="B4" s="327" t="s">
        <v>595</v>
      </c>
      <c r="C4" s="327" t="s">
        <v>4</v>
      </c>
      <c r="D4" s="327" t="s">
        <v>66</v>
      </c>
      <c r="E4" s="327" t="s">
        <v>67</v>
      </c>
      <c r="F4" s="327" t="s">
        <v>251</v>
      </c>
      <c r="G4" s="327" t="s">
        <v>69</v>
      </c>
      <c r="H4" s="327" t="s">
        <v>70</v>
      </c>
      <c r="I4" s="327" t="s">
        <v>71</v>
      </c>
      <c r="J4" s="327" t="s">
        <v>72</v>
      </c>
      <c r="K4" s="327" t="s">
        <v>73</v>
      </c>
      <c r="L4" s="327" t="s">
        <v>74</v>
      </c>
      <c r="M4" s="327" t="s">
        <v>75</v>
      </c>
      <c r="N4" s="327" t="s">
        <v>76</v>
      </c>
    </row>
    <row r="5" spans="2:14" ht="14.25" thickTop="1" thickBot="1">
      <c r="B5" s="250">
        <v>2010</v>
      </c>
      <c r="C5" s="413">
        <f t="shared" ref="C5:C13" si="0">SUM(D5:N5)</f>
        <v>1081</v>
      </c>
      <c r="D5" s="413">
        <v>95</v>
      </c>
      <c r="E5" s="413">
        <v>322</v>
      </c>
      <c r="F5" s="413">
        <v>181</v>
      </c>
      <c r="G5" s="413">
        <v>57</v>
      </c>
      <c r="H5" s="413">
        <v>63</v>
      </c>
      <c r="I5" s="413">
        <v>124</v>
      </c>
      <c r="J5" s="413">
        <v>79</v>
      </c>
      <c r="K5" s="413">
        <v>36</v>
      </c>
      <c r="L5" s="413">
        <v>50</v>
      </c>
      <c r="M5" s="413">
        <v>42</v>
      </c>
      <c r="N5" s="413">
        <v>32</v>
      </c>
    </row>
    <row r="6" spans="2:14" ht="14.25" thickTop="1" thickBot="1">
      <c r="B6" s="250">
        <v>2011</v>
      </c>
      <c r="C6" s="413">
        <f t="shared" si="0"/>
        <v>1049</v>
      </c>
      <c r="D6" s="413">
        <v>78</v>
      </c>
      <c r="E6" s="413">
        <v>245</v>
      </c>
      <c r="F6" s="413">
        <v>139</v>
      </c>
      <c r="G6" s="413">
        <v>72</v>
      </c>
      <c r="H6" s="413">
        <v>62</v>
      </c>
      <c r="I6" s="413">
        <v>135</v>
      </c>
      <c r="J6" s="413">
        <v>95</v>
      </c>
      <c r="K6" s="413">
        <v>37</v>
      </c>
      <c r="L6" s="413">
        <v>41</v>
      </c>
      <c r="M6" s="413">
        <v>116</v>
      </c>
      <c r="N6" s="413">
        <v>29</v>
      </c>
    </row>
    <row r="7" spans="2:14" ht="14.25" thickTop="1" thickBot="1">
      <c r="B7" s="250">
        <v>2012</v>
      </c>
      <c r="C7" s="413">
        <f t="shared" si="0"/>
        <v>992</v>
      </c>
      <c r="D7" s="413">
        <v>240</v>
      </c>
      <c r="E7" s="413">
        <v>229</v>
      </c>
      <c r="F7" s="413">
        <v>108</v>
      </c>
      <c r="G7" s="413">
        <v>41</v>
      </c>
      <c r="H7" s="413">
        <v>64</v>
      </c>
      <c r="I7" s="413">
        <v>51</v>
      </c>
      <c r="J7" s="413">
        <v>64</v>
      </c>
      <c r="K7" s="413">
        <v>33</v>
      </c>
      <c r="L7" s="413">
        <v>43</v>
      </c>
      <c r="M7" s="413">
        <v>106</v>
      </c>
      <c r="N7" s="413">
        <v>13</v>
      </c>
    </row>
    <row r="8" spans="2:14" ht="14.25" thickTop="1" thickBot="1">
      <c r="B8" s="250">
        <v>2013</v>
      </c>
      <c r="C8" s="413">
        <f t="shared" si="0"/>
        <v>833</v>
      </c>
      <c r="D8" s="413">
        <v>66</v>
      </c>
      <c r="E8" s="413">
        <v>122</v>
      </c>
      <c r="F8" s="413">
        <v>212</v>
      </c>
      <c r="G8" s="413">
        <v>32</v>
      </c>
      <c r="H8" s="413">
        <v>53</v>
      </c>
      <c r="I8" s="413">
        <v>34</v>
      </c>
      <c r="J8" s="413">
        <v>106</v>
      </c>
      <c r="K8" s="413">
        <v>56</v>
      </c>
      <c r="L8" s="413">
        <v>26</v>
      </c>
      <c r="M8" s="413">
        <v>112</v>
      </c>
      <c r="N8" s="413">
        <v>14</v>
      </c>
    </row>
    <row r="9" spans="2:14" ht="14.25" thickTop="1" thickBot="1">
      <c r="B9" s="253">
        <v>2014</v>
      </c>
      <c r="C9" s="413">
        <f t="shared" si="0"/>
        <v>1145</v>
      </c>
      <c r="D9" s="413">
        <v>65</v>
      </c>
      <c r="E9" s="413">
        <v>159</v>
      </c>
      <c r="F9" s="413">
        <v>250</v>
      </c>
      <c r="G9" s="413">
        <v>221</v>
      </c>
      <c r="H9" s="413">
        <v>116</v>
      </c>
      <c r="I9" s="413">
        <v>27</v>
      </c>
      <c r="J9" s="413">
        <v>84</v>
      </c>
      <c r="K9" s="413">
        <v>47</v>
      </c>
      <c r="L9" s="413">
        <v>32</v>
      </c>
      <c r="M9" s="413">
        <v>100</v>
      </c>
      <c r="N9" s="413">
        <v>44</v>
      </c>
    </row>
    <row r="10" spans="2:14" ht="14.25" thickTop="1" thickBot="1">
      <c r="B10" s="253">
        <v>2015</v>
      </c>
      <c r="C10" s="413">
        <f t="shared" si="0"/>
        <v>1122</v>
      </c>
      <c r="D10" s="413">
        <v>190</v>
      </c>
      <c r="E10" s="413">
        <v>183</v>
      </c>
      <c r="F10" s="413">
        <v>213</v>
      </c>
      <c r="G10" s="413">
        <v>88</v>
      </c>
      <c r="H10" s="413">
        <v>98</v>
      </c>
      <c r="I10" s="413">
        <v>53</v>
      </c>
      <c r="J10" s="413">
        <v>67</v>
      </c>
      <c r="K10" s="413">
        <v>52</v>
      </c>
      <c r="L10" s="413">
        <v>42</v>
      </c>
      <c r="M10" s="413">
        <v>95</v>
      </c>
      <c r="N10" s="413">
        <v>41</v>
      </c>
    </row>
    <row r="11" spans="2:14" ht="14.25" thickTop="1" thickBot="1">
      <c r="B11" s="253">
        <v>2016</v>
      </c>
      <c r="C11" s="413">
        <f t="shared" si="0"/>
        <v>1269</v>
      </c>
      <c r="D11" s="413">
        <v>182</v>
      </c>
      <c r="E11" s="413">
        <v>143</v>
      </c>
      <c r="F11" s="413">
        <v>260</v>
      </c>
      <c r="G11" s="413">
        <v>93</v>
      </c>
      <c r="H11" s="413">
        <v>143</v>
      </c>
      <c r="I11" s="413">
        <v>57</v>
      </c>
      <c r="J11" s="413">
        <v>74</v>
      </c>
      <c r="K11" s="413">
        <v>71</v>
      </c>
      <c r="L11" s="413">
        <v>49</v>
      </c>
      <c r="M11" s="413">
        <v>149</v>
      </c>
      <c r="N11" s="413">
        <v>48</v>
      </c>
    </row>
    <row r="12" spans="2:14" ht="14.25" thickTop="1" thickBot="1">
      <c r="B12" s="253">
        <v>2017</v>
      </c>
      <c r="C12" s="413">
        <f t="shared" si="0"/>
        <v>1356</v>
      </c>
      <c r="D12" s="413">
        <v>148</v>
      </c>
      <c r="E12" s="413">
        <v>162</v>
      </c>
      <c r="F12" s="413">
        <v>358</v>
      </c>
      <c r="G12" s="413">
        <v>57</v>
      </c>
      <c r="H12" s="413">
        <v>114</v>
      </c>
      <c r="I12" s="413">
        <v>43</v>
      </c>
      <c r="J12" s="413">
        <v>60</v>
      </c>
      <c r="K12" s="413">
        <v>211</v>
      </c>
      <c r="L12" s="413">
        <v>31</v>
      </c>
      <c r="M12" s="413">
        <v>144</v>
      </c>
      <c r="N12" s="413">
        <v>28</v>
      </c>
    </row>
    <row r="13" spans="2:14" ht="14.25" thickTop="1" thickBot="1">
      <c r="B13" s="253">
        <v>2018</v>
      </c>
      <c r="C13" s="413">
        <f t="shared" si="0"/>
        <v>1201</v>
      </c>
      <c r="D13" s="413">
        <v>324</v>
      </c>
      <c r="E13" s="413">
        <v>171</v>
      </c>
      <c r="F13" s="413">
        <v>168</v>
      </c>
      <c r="G13" s="413">
        <v>58</v>
      </c>
      <c r="H13" s="413">
        <v>86</v>
      </c>
      <c r="I13" s="413">
        <v>48</v>
      </c>
      <c r="J13" s="413">
        <v>47</v>
      </c>
      <c r="K13" s="413">
        <v>57</v>
      </c>
      <c r="L13" s="413">
        <v>84</v>
      </c>
      <c r="M13" s="413">
        <v>116</v>
      </c>
      <c r="N13" s="413">
        <v>42</v>
      </c>
    </row>
    <row r="14" spans="2:14" ht="15.75" thickTop="1" thickBot="1">
      <c r="B14" s="248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</row>
    <row r="15" spans="2:14" ht="14.25" thickTop="1" thickBot="1">
      <c r="B15" s="466" t="s">
        <v>185</v>
      </c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7"/>
    </row>
    <row r="16" spans="2:14" ht="13.5" thickTop="1">
      <c r="N16" s="189"/>
    </row>
    <row r="18" spans="3:14" ht="13.5" thickBot="1">
      <c r="E18" s="134"/>
    </row>
    <row r="19" spans="3:14" ht="14.25" thickTop="1" thickBot="1">
      <c r="C19" s="578"/>
      <c r="D19" s="579"/>
      <c r="E19" s="579"/>
      <c r="F19" s="579"/>
      <c r="G19" s="579"/>
      <c r="H19" s="579"/>
      <c r="I19" s="579"/>
      <c r="J19" s="579"/>
      <c r="K19" s="579"/>
      <c r="L19" s="579"/>
      <c r="M19" s="579"/>
      <c r="N19" s="579"/>
    </row>
    <row r="20" spans="3:14" ht="13.5" thickTop="1">
      <c r="G20" s="189"/>
    </row>
  </sheetData>
  <mergeCells count="4">
    <mergeCell ref="C19:N19"/>
    <mergeCell ref="B2:N2"/>
    <mergeCell ref="B3:N3"/>
    <mergeCell ref="B15:N15"/>
  </mergeCells>
  <hyperlinks>
    <hyperlink ref="B3:N3" location="'Capitulo 4'!B32" display="Número de BFV pagados por cantón. Provincia de Guanacaste. 2005-2018." xr:uid="{00000000-0004-0000-3000-000000000000}"/>
  </hyperlink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B2:O23"/>
  <sheetViews>
    <sheetView showGridLines="0" workbookViewId="0">
      <pane ySplit="4" topLeftCell="A5" activePane="bottomLeft" state="frozen"/>
      <selection pane="bottomLeft" activeCell="B3" sqref="B3:N3"/>
    </sheetView>
  </sheetViews>
  <sheetFormatPr baseColWidth="10" defaultRowHeight="12.75"/>
  <cols>
    <col min="1" max="1" width="11.42578125" style="22"/>
    <col min="2" max="2" width="11.5703125" style="22" bestFit="1" customWidth="1"/>
    <col min="3" max="3" width="8" style="22" bestFit="1" customWidth="1"/>
    <col min="4" max="4" width="14.28515625" style="22" bestFit="1" customWidth="1"/>
    <col min="5" max="5" width="10.42578125" style="22" bestFit="1" customWidth="1"/>
    <col min="6" max="6" width="17" style="22" customWidth="1"/>
    <col min="7" max="7" width="18.85546875" style="22" customWidth="1"/>
    <col min="8" max="8" width="7.85546875" style="22" bestFit="1" customWidth="1"/>
    <col min="9" max="10" width="10.42578125" style="22" bestFit="1" customWidth="1"/>
    <col min="11" max="11" width="13" style="22" bestFit="1" customWidth="1"/>
    <col min="12" max="12" width="10.42578125" style="22" bestFit="1" customWidth="1"/>
    <col min="13" max="13" width="14.28515625" style="22" bestFit="1" customWidth="1"/>
    <col min="14" max="14" width="11.7109375" style="22" bestFit="1" customWidth="1"/>
    <col min="15" max="16384" width="11.42578125" style="22"/>
  </cols>
  <sheetData>
    <row r="2" spans="2:15" ht="17.25" customHeight="1">
      <c r="B2" s="462" t="s">
        <v>333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</row>
    <row r="3" spans="2:15" ht="17.25" customHeight="1" thickBot="1">
      <c r="B3" s="464" t="s">
        <v>1118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</row>
    <row r="4" spans="2:15" ht="14.25" thickTop="1" thickBot="1">
      <c r="B4" s="327" t="s">
        <v>595</v>
      </c>
      <c r="C4" s="327" t="s">
        <v>4</v>
      </c>
      <c r="D4" s="327" t="s">
        <v>77</v>
      </c>
      <c r="E4" s="327" t="s">
        <v>78</v>
      </c>
      <c r="F4" s="327" t="s">
        <v>79</v>
      </c>
      <c r="G4" s="327" t="s">
        <v>80</v>
      </c>
      <c r="H4" s="327" t="s">
        <v>81</v>
      </c>
      <c r="I4" s="327" t="s">
        <v>82</v>
      </c>
      <c r="J4" s="327" t="s">
        <v>83</v>
      </c>
      <c r="K4" s="327" t="s">
        <v>84</v>
      </c>
      <c r="L4" s="327" t="s">
        <v>85</v>
      </c>
      <c r="M4" s="327" t="s">
        <v>86</v>
      </c>
      <c r="N4" s="327" t="s">
        <v>87</v>
      </c>
    </row>
    <row r="5" spans="2:15" ht="14.25" thickTop="1" thickBot="1">
      <c r="B5" s="250">
        <v>2010</v>
      </c>
      <c r="C5" s="413">
        <f t="shared" ref="C5:C13" si="0">SUM(D5:N5)</f>
        <v>1547</v>
      </c>
      <c r="D5" s="413">
        <v>318</v>
      </c>
      <c r="E5" s="413">
        <v>35</v>
      </c>
      <c r="F5" s="413">
        <v>400</v>
      </c>
      <c r="G5" s="413">
        <v>40</v>
      </c>
      <c r="H5" s="413">
        <v>58</v>
      </c>
      <c r="I5" s="413">
        <v>4</v>
      </c>
      <c r="J5" s="413">
        <v>182</v>
      </c>
      <c r="K5" s="413">
        <v>267</v>
      </c>
      <c r="L5" s="413">
        <v>84</v>
      </c>
      <c r="M5" s="413">
        <v>155</v>
      </c>
      <c r="N5" s="413">
        <v>4</v>
      </c>
    </row>
    <row r="6" spans="2:15" ht="14.25" thickTop="1" thickBot="1">
      <c r="B6" s="250">
        <v>2011</v>
      </c>
      <c r="C6" s="413">
        <f t="shared" si="0"/>
        <v>1828</v>
      </c>
      <c r="D6" s="413">
        <v>530</v>
      </c>
      <c r="E6" s="413">
        <v>135</v>
      </c>
      <c r="F6" s="413">
        <v>369</v>
      </c>
      <c r="G6" s="413">
        <v>21</v>
      </c>
      <c r="H6" s="413">
        <v>75</v>
      </c>
      <c r="I6" s="413">
        <v>11</v>
      </c>
      <c r="J6" s="413">
        <v>118</v>
      </c>
      <c r="K6" s="413">
        <v>239</v>
      </c>
      <c r="L6" s="413">
        <v>104</v>
      </c>
      <c r="M6" s="413">
        <v>219</v>
      </c>
      <c r="N6" s="413">
        <v>7</v>
      </c>
    </row>
    <row r="7" spans="2:15" ht="14.25" thickTop="1" thickBot="1">
      <c r="B7" s="250">
        <v>2012</v>
      </c>
      <c r="C7" s="413">
        <f t="shared" si="0"/>
        <v>1305</v>
      </c>
      <c r="D7" s="413">
        <v>209</v>
      </c>
      <c r="E7" s="413">
        <v>44</v>
      </c>
      <c r="F7" s="413">
        <v>364</v>
      </c>
      <c r="G7" s="413">
        <v>18</v>
      </c>
      <c r="H7" s="413">
        <v>76</v>
      </c>
      <c r="I7" s="413">
        <v>22</v>
      </c>
      <c r="J7" s="413">
        <v>150</v>
      </c>
      <c r="K7" s="413">
        <v>222</v>
      </c>
      <c r="L7" s="413">
        <v>57</v>
      </c>
      <c r="M7" s="413">
        <v>137</v>
      </c>
      <c r="N7" s="413">
        <v>6</v>
      </c>
    </row>
    <row r="8" spans="2:15" ht="14.25" thickTop="1" thickBot="1">
      <c r="B8" s="250">
        <v>2013</v>
      </c>
      <c r="C8" s="413">
        <f t="shared" si="0"/>
        <v>1403</v>
      </c>
      <c r="D8" s="413">
        <v>176</v>
      </c>
      <c r="E8" s="413">
        <v>44</v>
      </c>
      <c r="F8" s="413">
        <v>282</v>
      </c>
      <c r="G8" s="413">
        <v>34</v>
      </c>
      <c r="H8" s="413">
        <v>117</v>
      </c>
      <c r="I8" s="413">
        <v>24</v>
      </c>
      <c r="J8" s="413">
        <v>192</v>
      </c>
      <c r="K8" s="413">
        <v>299</v>
      </c>
      <c r="L8" s="413">
        <v>35</v>
      </c>
      <c r="M8" s="413">
        <v>192</v>
      </c>
      <c r="N8" s="413">
        <v>8</v>
      </c>
    </row>
    <row r="9" spans="2:15" ht="14.25" thickTop="1" thickBot="1">
      <c r="B9" s="253">
        <v>2014</v>
      </c>
      <c r="C9" s="413">
        <f t="shared" si="0"/>
        <v>1645</v>
      </c>
      <c r="D9" s="413">
        <v>241</v>
      </c>
      <c r="E9" s="413">
        <v>35</v>
      </c>
      <c r="F9" s="413">
        <v>371</v>
      </c>
      <c r="G9" s="413">
        <v>22</v>
      </c>
      <c r="H9" s="413">
        <v>152</v>
      </c>
      <c r="I9" s="413">
        <v>42</v>
      </c>
      <c r="J9" s="413">
        <v>164</v>
      </c>
      <c r="K9" s="413">
        <v>379</v>
      </c>
      <c r="L9" s="413">
        <v>75</v>
      </c>
      <c r="M9" s="413">
        <v>155</v>
      </c>
      <c r="N9" s="413">
        <v>9</v>
      </c>
    </row>
    <row r="10" spans="2:15" ht="14.25" thickTop="1" thickBot="1">
      <c r="B10" s="253">
        <v>2015</v>
      </c>
      <c r="C10" s="413">
        <f t="shared" si="0"/>
        <v>1925</v>
      </c>
      <c r="D10" s="413">
        <v>293</v>
      </c>
      <c r="E10" s="413">
        <v>33</v>
      </c>
      <c r="F10" s="413">
        <v>418</v>
      </c>
      <c r="G10" s="413">
        <v>31</v>
      </c>
      <c r="H10" s="413">
        <v>188</v>
      </c>
      <c r="I10" s="413">
        <v>60</v>
      </c>
      <c r="J10" s="413">
        <v>186</v>
      </c>
      <c r="K10" s="413">
        <v>406</v>
      </c>
      <c r="L10" s="413">
        <v>55</v>
      </c>
      <c r="M10" s="413">
        <v>231</v>
      </c>
      <c r="N10" s="413">
        <v>24</v>
      </c>
    </row>
    <row r="11" spans="2:15" ht="14.25" thickTop="1" thickBot="1">
      <c r="B11" s="253">
        <v>2016</v>
      </c>
      <c r="C11" s="413">
        <f t="shared" si="0"/>
        <v>2125</v>
      </c>
      <c r="D11" s="413">
        <v>372</v>
      </c>
      <c r="E11" s="413">
        <v>45</v>
      </c>
      <c r="F11" s="413">
        <v>459</v>
      </c>
      <c r="G11" s="413">
        <v>40</v>
      </c>
      <c r="H11" s="413">
        <v>225</v>
      </c>
      <c r="I11" s="413">
        <v>66</v>
      </c>
      <c r="J11" s="413">
        <v>244</v>
      </c>
      <c r="K11" s="413">
        <v>322</v>
      </c>
      <c r="L11" s="413">
        <v>67</v>
      </c>
      <c r="M11" s="413">
        <v>266</v>
      </c>
      <c r="N11" s="413">
        <v>19</v>
      </c>
    </row>
    <row r="12" spans="2:15" ht="14.25" thickTop="1" thickBot="1">
      <c r="B12" s="253">
        <v>2017</v>
      </c>
      <c r="C12" s="413">
        <f t="shared" si="0"/>
        <v>1813</v>
      </c>
      <c r="D12" s="413">
        <v>262</v>
      </c>
      <c r="E12" s="413">
        <v>53</v>
      </c>
      <c r="F12" s="413">
        <v>361</v>
      </c>
      <c r="G12" s="413">
        <v>26</v>
      </c>
      <c r="H12" s="413">
        <v>203</v>
      </c>
      <c r="I12" s="413">
        <v>108</v>
      </c>
      <c r="J12" s="413">
        <v>214</v>
      </c>
      <c r="K12" s="413">
        <v>294</v>
      </c>
      <c r="L12" s="413">
        <v>62</v>
      </c>
      <c r="M12" s="413">
        <v>204</v>
      </c>
      <c r="N12" s="413">
        <v>26</v>
      </c>
      <c r="O12" s="189"/>
    </row>
    <row r="13" spans="2:15" ht="14.25" thickTop="1" thickBot="1">
      <c r="B13" s="253">
        <v>2018</v>
      </c>
      <c r="C13" s="413">
        <f t="shared" si="0"/>
        <v>2243</v>
      </c>
      <c r="D13" s="413">
        <v>355</v>
      </c>
      <c r="E13" s="413">
        <v>54</v>
      </c>
      <c r="F13" s="413">
        <v>300</v>
      </c>
      <c r="G13" s="413">
        <v>19</v>
      </c>
      <c r="H13" s="413">
        <v>216</v>
      </c>
      <c r="I13" s="413">
        <v>209</v>
      </c>
      <c r="J13" s="413">
        <v>305</v>
      </c>
      <c r="K13" s="413">
        <v>439</v>
      </c>
      <c r="L13" s="413">
        <v>40</v>
      </c>
      <c r="M13" s="413">
        <v>229</v>
      </c>
      <c r="N13" s="413">
        <v>77</v>
      </c>
      <c r="O13" s="189"/>
    </row>
    <row r="14" spans="2:15" ht="15.75" thickTop="1" thickBot="1">
      <c r="B14" s="350"/>
      <c r="C14" s="351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</row>
    <row r="15" spans="2:15" ht="14.25" thickTop="1" thickBot="1">
      <c r="B15" s="466" t="s">
        <v>185</v>
      </c>
      <c r="C15" s="467"/>
      <c r="D15" s="467"/>
      <c r="E15" s="467"/>
      <c r="F15" s="467"/>
      <c r="G15" s="467"/>
      <c r="H15" s="467"/>
      <c r="I15" s="467"/>
      <c r="J15" s="467"/>
      <c r="K15" s="467"/>
      <c r="L15" s="467"/>
      <c r="M15" s="467"/>
      <c r="N15" s="467"/>
    </row>
    <row r="16" spans="2:15" ht="14.25" thickTop="1"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7" spans="2:14" ht="13.5">
      <c r="B17" s="24"/>
      <c r="C17" s="24"/>
      <c r="D17" s="145"/>
      <c r="E17" s="24"/>
      <c r="F17" s="24"/>
      <c r="G17" s="24"/>
      <c r="H17" s="24"/>
      <c r="I17" s="24"/>
      <c r="J17" s="24"/>
      <c r="K17" s="24"/>
      <c r="L17" s="24"/>
      <c r="M17" s="24"/>
      <c r="N17" s="24"/>
    </row>
    <row r="18" spans="2:14" ht="13.5">
      <c r="B18" s="24"/>
      <c r="C18" s="201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2:14" ht="13.5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13.5"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2:14" ht="13.5"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</row>
    <row r="22" spans="2:14" ht="13.5"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</row>
    <row r="23" spans="2:14" ht="13.5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</row>
  </sheetData>
  <mergeCells count="3">
    <mergeCell ref="B2:N2"/>
    <mergeCell ref="B3:N3"/>
    <mergeCell ref="B15:N15"/>
  </mergeCells>
  <hyperlinks>
    <hyperlink ref="B3:N3" location="'Capitulo 4'!B33" display="Número de BFV pagados por cantón. Provincia de Puntarenas. 2005-2018." xr:uid="{00000000-0004-0000-31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12"/>
  <sheetViews>
    <sheetView showGridLines="0" zoomScale="130" zoomScaleNormal="130" workbookViewId="0">
      <pane ySplit="5" topLeftCell="A6" activePane="bottomLeft" state="frozen"/>
      <selection pane="bottomLeft" activeCell="K3" sqref="K3"/>
    </sheetView>
  </sheetViews>
  <sheetFormatPr baseColWidth="10" defaultRowHeight="12.75"/>
  <cols>
    <col min="2" max="2" width="25" style="4" customWidth="1"/>
    <col min="3" max="3" width="24.5703125" style="4" customWidth="1"/>
    <col min="4" max="4" width="26.5703125" style="4" customWidth="1"/>
    <col min="5" max="5" width="11.42578125" style="4"/>
    <col min="6" max="11" width="11.42578125" style="3"/>
  </cols>
  <sheetData>
    <row r="2" spans="2:11" ht="15">
      <c r="B2" s="462" t="s">
        <v>2</v>
      </c>
      <c r="C2" s="462"/>
      <c r="D2" s="462"/>
      <c r="E2" s="12"/>
      <c r="F2"/>
      <c r="G2"/>
      <c r="H2"/>
      <c r="I2"/>
      <c r="J2"/>
      <c r="K2"/>
    </row>
    <row r="3" spans="2:11" ht="37.5" customHeight="1" thickBot="1">
      <c r="B3" s="464" t="s">
        <v>1064</v>
      </c>
      <c r="C3" s="465"/>
      <c r="D3" s="465"/>
      <c r="E3" s="13"/>
      <c r="F3"/>
      <c r="G3"/>
      <c r="H3"/>
      <c r="I3"/>
      <c r="J3"/>
      <c r="K3"/>
    </row>
    <row r="4" spans="2:11" ht="14.25" thickTop="1" thickBot="1">
      <c r="B4" s="471" t="s">
        <v>10</v>
      </c>
      <c r="C4" s="472" t="s">
        <v>287</v>
      </c>
      <c r="D4" s="472"/>
      <c r="E4" s="12"/>
      <c r="F4"/>
      <c r="G4"/>
      <c r="H4"/>
      <c r="I4"/>
      <c r="J4"/>
      <c r="K4"/>
    </row>
    <row r="5" spans="2:11" ht="14.25" thickTop="1" thickBot="1">
      <c r="B5" s="471" t="s">
        <v>10</v>
      </c>
      <c r="C5" s="315" t="s">
        <v>285</v>
      </c>
      <c r="D5" s="315" t="s">
        <v>286</v>
      </c>
      <c r="E5" s="12"/>
      <c r="F5"/>
      <c r="G5"/>
      <c r="H5"/>
      <c r="I5"/>
      <c r="J5"/>
      <c r="K5"/>
    </row>
    <row r="6" spans="2:11" ht="14.25" thickTop="1" thickBot="1">
      <c r="B6" s="250">
        <v>2015</v>
      </c>
      <c r="C6" s="262">
        <v>3.5</v>
      </c>
      <c r="D6" s="262">
        <v>6.69</v>
      </c>
      <c r="E6" s="12"/>
      <c r="F6"/>
      <c r="G6"/>
      <c r="H6"/>
      <c r="I6"/>
      <c r="J6"/>
      <c r="K6"/>
    </row>
    <row r="7" spans="2:11" ht="14.25" thickTop="1" thickBot="1">
      <c r="B7" s="253">
        <v>2016</v>
      </c>
      <c r="C7" s="262">
        <v>1.75</v>
      </c>
      <c r="D7" s="262">
        <v>5.2</v>
      </c>
      <c r="E7" s="12"/>
      <c r="F7"/>
      <c r="G7"/>
      <c r="H7"/>
      <c r="I7"/>
      <c r="J7"/>
      <c r="K7"/>
    </row>
    <row r="8" spans="2:11" ht="13.5" thickTop="1">
      <c r="B8" s="253">
        <v>2017</v>
      </c>
      <c r="C8" s="262">
        <v>3.6</v>
      </c>
      <c r="D8" s="262">
        <v>5.3</v>
      </c>
      <c r="E8" s="12"/>
      <c r="F8"/>
      <c r="G8"/>
      <c r="H8"/>
      <c r="I8"/>
      <c r="J8"/>
      <c r="K8"/>
    </row>
    <row r="9" spans="2:11">
      <c r="B9" s="254">
        <v>2018</v>
      </c>
      <c r="C9" s="263">
        <v>3.42</v>
      </c>
      <c r="D9" s="263">
        <v>5.97</v>
      </c>
      <c r="E9" s="12"/>
      <c r="F9"/>
      <c r="G9"/>
      <c r="H9"/>
      <c r="I9"/>
      <c r="J9"/>
      <c r="K9"/>
    </row>
    <row r="10" spans="2:11" ht="15" thickBot="1">
      <c r="B10" s="260"/>
      <c r="C10" s="261"/>
      <c r="D10" s="261"/>
      <c r="E10" s="12"/>
      <c r="F10"/>
      <c r="G10"/>
      <c r="H10"/>
      <c r="I10"/>
      <c r="J10"/>
      <c r="K10"/>
    </row>
    <row r="11" spans="2:11" ht="17.25" customHeight="1" thickTop="1" thickBot="1">
      <c r="B11" s="469" t="s">
        <v>11</v>
      </c>
      <c r="C11" s="470"/>
      <c r="D11" s="470"/>
      <c r="E11" s="13"/>
      <c r="F11"/>
      <c r="G11"/>
      <c r="H11"/>
      <c r="I11"/>
      <c r="J11"/>
      <c r="K11"/>
    </row>
    <row r="12" spans="2:11" ht="14.25" thickTop="1">
      <c r="B12" s="468" t="s">
        <v>1065</v>
      </c>
      <c r="C12" s="468"/>
      <c r="D12" s="468"/>
      <c r="E12" s="12"/>
      <c r="F12"/>
      <c r="G12"/>
      <c r="H12"/>
      <c r="I12"/>
      <c r="J12"/>
      <c r="K12"/>
    </row>
  </sheetData>
  <mergeCells count="6">
    <mergeCell ref="B12:D12"/>
    <mergeCell ref="B11:D11"/>
    <mergeCell ref="B2:D2"/>
    <mergeCell ref="B3:D3"/>
    <mergeCell ref="B4:B5"/>
    <mergeCell ref="C4:D4"/>
  </mergeCells>
  <phoneticPr fontId="6" type="noConversion"/>
  <hyperlinks>
    <hyperlink ref="B3:D3" location="'Capitulo 1'!B21" display="Tasa de Política Monetaria y Tasa Básica Pasiva. 2015-2018. 1/" xr:uid="{00000000-0004-0000-04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 r:id="rId1"/>
  <headerFooter alignWithMargins="0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B2:J21"/>
  <sheetViews>
    <sheetView showGridLines="0" workbookViewId="0">
      <pane ySplit="4" topLeftCell="A5" activePane="bottomLeft" state="frozen"/>
      <selection pane="bottomLeft" activeCell="H20" sqref="H20"/>
    </sheetView>
  </sheetViews>
  <sheetFormatPr baseColWidth="10" defaultRowHeight="12.75"/>
  <cols>
    <col min="1" max="6" width="11.42578125" style="22"/>
    <col min="7" max="7" width="12.85546875" style="22" customWidth="1"/>
    <col min="8" max="16384" width="11.42578125" style="22"/>
  </cols>
  <sheetData>
    <row r="2" spans="2:10" ht="17.25" customHeight="1">
      <c r="B2" s="462" t="s">
        <v>334</v>
      </c>
      <c r="C2" s="462"/>
      <c r="D2" s="462"/>
      <c r="E2" s="462"/>
      <c r="F2" s="462"/>
      <c r="G2" s="462"/>
      <c r="H2" s="462"/>
      <c r="I2" s="462"/>
    </row>
    <row r="3" spans="2:10" ht="17.25" customHeight="1" thickBot="1">
      <c r="B3" s="464" t="s">
        <v>1119</v>
      </c>
      <c r="C3" s="464"/>
      <c r="D3" s="464"/>
      <c r="E3" s="464"/>
      <c r="F3" s="464"/>
      <c r="G3" s="464"/>
      <c r="H3" s="464"/>
      <c r="I3" s="464"/>
    </row>
    <row r="4" spans="2:10" ht="14.25" thickTop="1" thickBot="1">
      <c r="B4" s="327" t="s">
        <v>595</v>
      </c>
      <c r="C4" s="327" t="s">
        <v>4</v>
      </c>
      <c r="D4" s="327" t="s">
        <v>88</v>
      </c>
      <c r="E4" s="327" t="s">
        <v>89</v>
      </c>
      <c r="F4" s="327" t="s">
        <v>90</v>
      </c>
      <c r="G4" s="327" t="s">
        <v>91</v>
      </c>
      <c r="H4" s="327" t="s">
        <v>92</v>
      </c>
      <c r="I4" s="327" t="s">
        <v>93</v>
      </c>
    </row>
    <row r="5" spans="2:10" ht="14.25" thickTop="1" thickBot="1">
      <c r="B5" s="250">
        <v>2010</v>
      </c>
      <c r="C5" s="413">
        <f t="shared" ref="C5:C13" si="0">SUM(D5:I5)</f>
        <v>2266</v>
      </c>
      <c r="D5" s="413">
        <v>333</v>
      </c>
      <c r="E5" s="413">
        <v>875</v>
      </c>
      <c r="F5" s="413">
        <v>288</v>
      </c>
      <c r="G5" s="413">
        <v>327</v>
      </c>
      <c r="H5" s="413">
        <v>116</v>
      </c>
      <c r="I5" s="413">
        <v>327</v>
      </c>
    </row>
    <row r="6" spans="2:10" ht="14.25" thickTop="1" thickBot="1">
      <c r="B6" s="250">
        <v>2011</v>
      </c>
      <c r="C6" s="413">
        <f t="shared" si="0"/>
        <v>1966</v>
      </c>
      <c r="D6" s="413">
        <v>210</v>
      </c>
      <c r="E6" s="413">
        <v>1062</v>
      </c>
      <c r="F6" s="413">
        <v>117</v>
      </c>
      <c r="G6" s="413">
        <v>170</v>
      </c>
      <c r="H6" s="413">
        <v>69</v>
      </c>
      <c r="I6" s="413">
        <v>338</v>
      </c>
    </row>
    <row r="7" spans="2:10" ht="14.25" thickTop="1" thickBot="1">
      <c r="B7" s="250">
        <v>2012</v>
      </c>
      <c r="C7" s="413">
        <f t="shared" si="0"/>
        <v>1860</v>
      </c>
      <c r="D7" s="413">
        <v>220</v>
      </c>
      <c r="E7" s="413">
        <v>748</v>
      </c>
      <c r="F7" s="413">
        <v>129</v>
      </c>
      <c r="G7" s="413">
        <v>298</v>
      </c>
      <c r="H7" s="413">
        <v>156</v>
      </c>
      <c r="I7" s="413">
        <v>309</v>
      </c>
    </row>
    <row r="8" spans="2:10" ht="14.25" thickTop="1" thickBot="1">
      <c r="B8" s="250">
        <v>2013</v>
      </c>
      <c r="C8" s="413">
        <f t="shared" si="0"/>
        <v>2183</v>
      </c>
      <c r="D8" s="413">
        <v>103</v>
      </c>
      <c r="E8" s="413">
        <v>850</v>
      </c>
      <c r="F8" s="413">
        <v>178</v>
      </c>
      <c r="G8" s="413">
        <v>418</v>
      </c>
      <c r="H8" s="413">
        <v>149</v>
      </c>
      <c r="I8" s="413">
        <v>485</v>
      </c>
    </row>
    <row r="9" spans="2:10" ht="14.25" thickTop="1" thickBot="1">
      <c r="B9" s="253">
        <v>2014</v>
      </c>
      <c r="C9" s="413">
        <f t="shared" si="0"/>
        <v>1614</v>
      </c>
      <c r="D9" s="413">
        <v>89</v>
      </c>
      <c r="E9" s="413">
        <v>806</v>
      </c>
      <c r="F9" s="413">
        <v>156</v>
      </c>
      <c r="G9" s="413">
        <v>106</v>
      </c>
      <c r="H9" s="413">
        <v>137</v>
      </c>
      <c r="I9" s="413">
        <v>320</v>
      </c>
    </row>
    <row r="10" spans="2:10" ht="14.25" thickTop="1" thickBot="1">
      <c r="B10" s="253">
        <v>2015</v>
      </c>
      <c r="C10" s="413">
        <f t="shared" si="0"/>
        <v>1920</v>
      </c>
      <c r="D10" s="413">
        <v>98</v>
      </c>
      <c r="E10" s="413">
        <v>824</v>
      </c>
      <c r="F10" s="413">
        <v>212</v>
      </c>
      <c r="G10" s="413">
        <v>207</v>
      </c>
      <c r="H10" s="413">
        <v>198</v>
      </c>
      <c r="I10" s="413">
        <v>381</v>
      </c>
    </row>
    <row r="11" spans="2:10" ht="14.25" thickTop="1" thickBot="1">
      <c r="B11" s="253">
        <v>2016</v>
      </c>
      <c r="C11" s="413">
        <f t="shared" si="0"/>
        <v>2278</v>
      </c>
      <c r="D11" s="413">
        <v>118</v>
      </c>
      <c r="E11" s="413">
        <v>1117</v>
      </c>
      <c r="F11" s="413">
        <v>217</v>
      </c>
      <c r="G11" s="413">
        <v>185</v>
      </c>
      <c r="H11" s="413">
        <v>210</v>
      </c>
      <c r="I11" s="413">
        <v>431</v>
      </c>
    </row>
    <row r="12" spans="2:10" ht="14.25" thickTop="1" thickBot="1">
      <c r="B12" s="253">
        <v>2017</v>
      </c>
      <c r="C12" s="413">
        <f t="shared" si="0"/>
        <v>2348</v>
      </c>
      <c r="D12" s="413">
        <v>264</v>
      </c>
      <c r="E12" s="413">
        <v>909</v>
      </c>
      <c r="F12" s="413">
        <v>270</v>
      </c>
      <c r="G12" s="413">
        <v>124</v>
      </c>
      <c r="H12" s="413">
        <v>389</v>
      </c>
      <c r="I12" s="413">
        <v>392</v>
      </c>
      <c r="J12" s="189"/>
    </row>
    <row r="13" spans="2:10" ht="14.25" thickTop="1" thickBot="1">
      <c r="B13" s="253">
        <v>2018</v>
      </c>
      <c r="C13" s="413">
        <f t="shared" si="0"/>
        <v>2204</v>
      </c>
      <c r="D13" s="413">
        <v>361</v>
      </c>
      <c r="E13" s="413">
        <v>782</v>
      </c>
      <c r="F13" s="413">
        <v>375</v>
      </c>
      <c r="G13" s="413">
        <v>107</v>
      </c>
      <c r="H13" s="413">
        <v>218</v>
      </c>
      <c r="I13" s="413">
        <v>361</v>
      </c>
      <c r="J13" s="189"/>
    </row>
    <row r="14" spans="2:10" ht="15.75" thickTop="1" thickBot="1">
      <c r="B14" s="248"/>
      <c r="C14" s="351"/>
      <c r="D14" s="352"/>
      <c r="E14" s="352"/>
      <c r="F14" s="352"/>
      <c r="G14" s="352"/>
      <c r="H14" s="352"/>
      <c r="I14" s="352"/>
    </row>
    <row r="15" spans="2:10" ht="14.25" thickTop="1" thickBot="1">
      <c r="B15" s="466" t="s">
        <v>185</v>
      </c>
      <c r="C15" s="467"/>
      <c r="D15" s="467"/>
      <c r="E15" s="467"/>
      <c r="F15" s="467"/>
      <c r="G15" s="467"/>
      <c r="H15" s="467"/>
      <c r="I15" s="467"/>
    </row>
    <row r="16" spans="2:10" ht="13.5" thickTop="1"/>
    <row r="17" spans="3:5">
      <c r="E17" s="153"/>
    </row>
    <row r="18" spans="3:5">
      <c r="D18" s="189"/>
    </row>
    <row r="19" spans="3:5">
      <c r="C19" s="189"/>
    </row>
    <row r="20" spans="3:5">
      <c r="C20" s="189"/>
    </row>
    <row r="21" spans="3:5">
      <c r="C21" s="153"/>
    </row>
  </sheetData>
  <mergeCells count="3">
    <mergeCell ref="B2:I2"/>
    <mergeCell ref="B3:I3"/>
    <mergeCell ref="B15:I15"/>
  </mergeCells>
  <hyperlinks>
    <hyperlink ref="B3:I3" location="'Capitulo 4'!B34" display="Número de BFV pagados por cantón. Provincia de Limón. 2005-2018." xr:uid="{00000000-0004-0000-3200-000000000000}"/>
  </hyperlink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B1:U34"/>
  <sheetViews>
    <sheetView showGridLines="0" workbookViewId="0">
      <pane ySplit="5" topLeftCell="A6" activePane="bottomLeft" state="frozen"/>
      <selection pane="bottomLeft" activeCell="B2" sqref="B2:H2"/>
    </sheetView>
  </sheetViews>
  <sheetFormatPr baseColWidth="10" defaultRowHeight="12.75"/>
  <cols>
    <col min="1" max="2" width="11.42578125" style="22"/>
    <col min="3" max="3" width="19.7109375" style="22" customWidth="1"/>
    <col min="4" max="4" width="21.42578125" style="22" customWidth="1"/>
    <col min="5" max="5" width="21" style="22" customWidth="1"/>
    <col min="6" max="6" width="13.5703125" style="22" bestFit="1" customWidth="1"/>
    <col min="7" max="8" width="17.85546875" style="22" customWidth="1"/>
    <col min="9" max="16384" width="11.42578125" style="22"/>
  </cols>
  <sheetData>
    <row r="1" spans="2:21">
      <c r="B1" s="152"/>
      <c r="C1" s="152"/>
      <c r="D1" s="152"/>
      <c r="E1" s="152"/>
      <c r="F1" s="152"/>
      <c r="G1" s="152"/>
    </row>
    <row r="2" spans="2:21" ht="16.5" customHeight="1">
      <c r="B2" s="462" t="s">
        <v>335</v>
      </c>
      <c r="C2" s="462"/>
      <c r="D2" s="462"/>
      <c r="E2" s="462"/>
      <c r="F2" s="462"/>
      <c r="G2" s="462"/>
      <c r="H2" s="462"/>
      <c r="I2" s="157"/>
      <c r="J2" s="157"/>
      <c r="K2" s="157"/>
      <c r="L2" s="160"/>
      <c r="M2" s="160"/>
      <c r="N2" s="160"/>
      <c r="O2" s="160"/>
      <c r="P2" s="160"/>
      <c r="Q2" s="160"/>
      <c r="R2" s="160"/>
      <c r="S2" s="160"/>
      <c r="T2" s="160"/>
    </row>
    <row r="3" spans="2:21" ht="22.5" customHeight="1" thickBot="1">
      <c r="B3" s="482" t="s">
        <v>1120</v>
      </c>
      <c r="C3" s="482"/>
      <c r="D3" s="482"/>
      <c r="E3" s="482"/>
      <c r="F3" s="482"/>
      <c r="G3" s="482"/>
      <c r="H3" s="482"/>
      <c r="I3" s="157"/>
      <c r="J3" s="157"/>
      <c r="K3" s="157"/>
      <c r="L3" s="160"/>
      <c r="M3" s="160"/>
      <c r="N3" s="160"/>
      <c r="O3" s="160"/>
      <c r="P3" s="160"/>
      <c r="Q3" s="160"/>
      <c r="R3" s="160"/>
      <c r="S3" s="160"/>
      <c r="T3" s="160"/>
    </row>
    <row r="4" spans="2:21" ht="15" thickTop="1" thickBot="1">
      <c r="B4" s="471" t="s">
        <v>595</v>
      </c>
      <c r="C4" s="459" t="s">
        <v>280</v>
      </c>
      <c r="D4" s="460"/>
      <c r="E4" s="461"/>
      <c r="F4" s="459" t="s">
        <v>281</v>
      </c>
      <c r="G4" s="460"/>
      <c r="H4" s="461"/>
      <c r="I4" s="156"/>
      <c r="J4" s="156"/>
      <c r="K4" s="156"/>
      <c r="L4" s="127"/>
      <c r="M4" s="127"/>
      <c r="N4" s="127"/>
      <c r="O4" s="127"/>
      <c r="P4" s="127"/>
      <c r="Q4" s="127"/>
      <c r="R4" s="24"/>
      <c r="S4" s="24"/>
      <c r="T4" s="151"/>
    </row>
    <row r="5" spans="2:21" ht="17.25" thickTop="1" thickBot="1">
      <c r="B5" s="471"/>
      <c r="C5" s="315" t="s">
        <v>4</v>
      </c>
      <c r="D5" s="315" t="s">
        <v>1096</v>
      </c>
      <c r="E5" s="315" t="s">
        <v>1097</v>
      </c>
      <c r="F5" s="315" t="s">
        <v>4</v>
      </c>
      <c r="G5" s="315" t="s">
        <v>252</v>
      </c>
      <c r="H5" s="315" t="s">
        <v>253</v>
      </c>
      <c r="J5" s="156"/>
      <c r="K5" s="156"/>
      <c r="L5" s="127"/>
      <c r="M5" s="127"/>
      <c r="N5" s="127"/>
      <c r="O5" s="127"/>
      <c r="P5" s="127"/>
      <c r="Q5" s="127"/>
      <c r="R5" s="127"/>
      <c r="S5" s="24"/>
      <c r="T5" s="24"/>
      <c r="U5" s="151"/>
    </row>
    <row r="6" spans="2:21" ht="16.5" customHeight="1" thickTop="1" thickBot="1">
      <c r="B6" s="250">
        <v>2010</v>
      </c>
      <c r="C6" s="413">
        <f t="shared" ref="C6:C14" si="0">+D6+E6</f>
        <v>10722</v>
      </c>
      <c r="D6" s="413">
        <f>+'c39'!C6+'c39'!C7+'c39'!C8+'c39'!C9+'c39'!C11+'c39'!C12+'c39'!C13+'c39'!C14+'c39'!C15+'c39'!C16+'c39'!C17+'c39'!C18+'c39'!C19+'c39'!C20+'c39'!C21+'c39'!C23+'c40'!C6+'c40'!C7+'c40'!C8+'c40'!C9+'c40'!C10+'c40'!C13+'c40'!C14+'c41'!C5+'c42'!C5-'c42'!M5</f>
        <v>3359</v>
      </c>
      <c r="E6" s="413">
        <f>+'c39'!C10+'c39'!C22+'c39'!C24+'c39'!C25+'c40'!C11+'c40'!C12+'c40'!C15+'c40'!C16+'c40'!C17+'c40'!C18+'c40'!C19+'c40'!C20+'c42'!M5+'c43'!C5+'c44'!C5+'c45'!C5</f>
        <v>7363</v>
      </c>
      <c r="F6" s="262">
        <v>100</v>
      </c>
      <c r="G6" s="262">
        <f t="shared" ref="G6:G13" si="1">+(D6/C6)*100</f>
        <v>31.32811042715911</v>
      </c>
      <c r="H6" s="262">
        <f t="shared" ref="H6:H13" si="2">+(E6/C6)*100</f>
        <v>68.671889572840882</v>
      </c>
      <c r="K6" s="404"/>
    </row>
    <row r="7" spans="2:21" ht="16.5" customHeight="1" thickTop="1" thickBot="1">
      <c r="B7" s="250">
        <v>2011</v>
      </c>
      <c r="C7" s="413">
        <f t="shared" si="0"/>
        <v>10461</v>
      </c>
      <c r="D7" s="413">
        <f>+'c39'!D6+'c39'!D7+'c39'!D8+'c39'!D9+'c39'!D11+'c39'!D12+'c39'!D13+'c39'!D14+'c39'!D15+'c39'!D16+'c39'!D17+'c39'!D18+'c39'!D19+'c39'!D20+'c39'!D21+'c39'!D23+'c40'!D6+'c40'!D7+'c40'!D8+'c40'!D9+'c40'!D10+'c40'!D13+'c40'!D14+'c41'!C6+'c42'!C6-'c42'!M6</f>
        <v>3441</v>
      </c>
      <c r="E7" s="413">
        <f>+'c39'!D10+'c39'!D22+'c39'!D24+'c39'!D25+'c40'!D11+'c40'!D12+'c40'!D15+'c40'!D16+'c40'!D17+'c40'!D18+'c40'!D19+'c40'!D20+'c42'!M6+'c43'!C6+'c44'!C6+'c45'!C6</f>
        <v>7020</v>
      </c>
      <c r="F7" s="262">
        <v>100</v>
      </c>
      <c r="G7" s="262">
        <f t="shared" si="1"/>
        <v>32.893604817895039</v>
      </c>
      <c r="H7" s="262">
        <f t="shared" si="2"/>
        <v>67.106395182104961</v>
      </c>
      <c r="K7" s="404"/>
    </row>
    <row r="8" spans="2:21" ht="16.5" customHeight="1" thickTop="1" thickBot="1">
      <c r="B8" s="250">
        <v>2012</v>
      </c>
      <c r="C8" s="413">
        <f t="shared" si="0"/>
        <v>9463</v>
      </c>
      <c r="D8" s="413">
        <f>+'c39'!E6+'c39'!E7+'c39'!E8+'c39'!E9+'c39'!E11+'c39'!E12+'c39'!E13+'c39'!E14+'c39'!E15+'c39'!E16+'c39'!E17+'c39'!E18+'c39'!E19+'c39'!E20+'c39'!E21+'c39'!E23+'c40'!E6+'c40'!E7+'c40'!E8+'c40'!E9+'c40'!E10+'c40'!E13+'c40'!E14+'c41'!C7+'c42'!C7-'c42'!M7</f>
        <v>3081</v>
      </c>
      <c r="E8" s="413">
        <f>+'c39'!E10+'c39'!E22+'c39'!E24+'c39'!E25+'c40'!E11+'c40'!E12+'c40'!E15+'c40'!E16+'c40'!E17+'c40'!E18+'c40'!E19+'c40'!E20+'c42'!M7+'c43'!C7+'c44'!C7+'c45'!C7</f>
        <v>6382</v>
      </c>
      <c r="F8" s="262">
        <v>100</v>
      </c>
      <c r="G8" s="262">
        <f t="shared" si="1"/>
        <v>32.55838529007714</v>
      </c>
      <c r="H8" s="262">
        <f t="shared" si="2"/>
        <v>67.44161470992286</v>
      </c>
      <c r="K8" s="404"/>
    </row>
    <row r="9" spans="2:21" ht="16.5" customHeight="1" thickTop="1" thickBot="1">
      <c r="B9" s="250">
        <v>2013</v>
      </c>
      <c r="C9" s="413">
        <f t="shared" si="0"/>
        <v>10061</v>
      </c>
      <c r="D9" s="413">
        <f>+'c39'!F6+'c39'!F7+'c39'!F8+'c39'!F9+'c39'!F11+'c39'!F12+'c39'!F13+'c39'!F14+'c39'!F15+'c39'!F16+'c39'!F17+'c39'!F18+'c39'!F19+'c39'!F20+'c39'!F21+'c39'!F23+'c40'!F6+'c40'!F7+'c40'!F8+'c40'!F9+'c40'!F10+'c40'!F13+'c40'!F14+'c41'!C8+'c42'!C8-'c42'!M8</f>
        <v>3204</v>
      </c>
      <c r="E9" s="413">
        <f>+'c39'!F10+'c39'!F22+'c39'!F24+'c39'!F25+'c40'!F11+'c40'!F12+'c40'!F15+'c40'!F16+'c40'!F17+'c40'!F18+'c40'!F19+'c40'!F20+'c42'!M8+'c43'!C8+'c44'!C8+'c45'!C8</f>
        <v>6857</v>
      </c>
      <c r="F9" s="262">
        <v>100</v>
      </c>
      <c r="G9" s="262">
        <f t="shared" si="1"/>
        <v>31.845740980021869</v>
      </c>
      <c r="H9" s="262">
        <f t="shared" si="2"/>
        <v>68.154259019978142</v>
      </c>
      <c r="K9" s="404"/>
    </row>
    <row r="10" spans="2:21" ht="16.5" customHeight="1" thickTop="1" thickBot="1">
      <c r="B10" s="253">
        <v>2014</v>
      </c>
      <c r="C10" s="413">
        <f t="shared" si="0"/>
        <v>9804</v>
      </c>
      <c r="D10" s="419">
        <f>+'c39'!G6+'c39'!G7+'c39'!G8+'c39'!G9+'c39'!G11+'c39'!G12+'c39'!G13+'c39'!G14+'c39'!G15+'c39'!G16+'c39'!G17+'c39'!G18+'c39'!G19+'c39'!G20+'c39'!G21+'c39'!G23+'c40'!G6+'c40'!G7+'c40'!G8+'c40'!G9+'c40'!G10+'c40'!G13+'c40'!G14+'c41'!C9+'c42'!C9-'c42'!M9</f>
        <v>3014</v>
      </c>
      <c r="E10" s="419">
        <f>+'c39'!G10+'c39'!G22+'c39'!G24+'c39'!G25+'c40'!G11+'c40'!G12+'c40'!G15+'c40'!G16+'c40'!G17+'c40'!G18+'c40'!G19+'c40'!G20+'c42'!M9+'c43'!C9+'c44'!C9+'c45'!C9</f>
        <v>6790</v>
      </c>
      <c r="F10" s="262">
        <v>100</v>
      </c>
      <c r="G10" s="262">
        <f t="shared" si="1"/>
        <v>30.742554059567524</v>
      </c>
      <c r="H10" s="262">
        <f t="shared" si="2"/>
        <v>69.257445940432476</v>
      </c>
      <c r="K10" s="404"/>
    </row>
    <row r="11" spans="2:21" ht="16.5" customHeight="1" thickTop="1" thickBot="1">
      <c r="B11" s="253">
        <v>2015</v>
      </c>
      <c r="C11" s="413">
        <f t="shared" si="0"/>
        <v>10867</v>
      </c>
      <c r="D11" s="419">
        <f>+'c39'!H6+'c39'!H7+'c39'!H8+'c39'!H9+'c39'!H11+'c39'!H12+'c39'!H13+'c39'!H14+'c39'!H15+'c39'!H16+'c39'!H17+'c39'!H18+'c39'!H19+'c39'!H20+'c39'!H21+'c39'!H23+'c40'!H6+'c40'!H7+'c40'!H8+'c40'!H9+'c40'!H10+'c40'!H13+'c40'!H14+'c41'!C10+'c42'!C10-'c42'!M10</f>
        <v>2977</v>
      </c>
      <c r="E11" s="419">
        <f>+'c39'!H10+'c39'!H22+'c39'!H24+'c39'!H25+'c40'!H11+'c40'!H12+'c40'!H15+'c40'!H16+'c40'!H17+'c40'!H18+'c40'!H19+'c40'!H20+'c42'!M10+'c43'!C10+'c44'!C10+'c45'!C10</f>
        <v>7890</v>
      </c>
      <c r="F11" s="262">
        <v>100</v>
      </c>
      <c r="G11" s="262">
        <f t="shared" si="1"/>
        <v>27.394865188184415</v>
      </c>
      <c r="H11" s="262">
        <f t="shared" si="2"/>
        <v>72.605134811815589</v>
      </c>
      <c r="K11" s="404"/>
    </row>
    <row r="12" spans="2:21" ht="16.5" customHeight="1" thickTop="1" thickBot="1">
      <c r="B12" s="253">
        <v>2016</v>
      </c>
      <c r="C12" s="413">
        <f t="shared" si="0"/>
        <v>11823</v>
      </c>
      <c r="D12" s="419">
        <f>+'c39'!I6+'c39'!I7+'c39'!I8+'c39'!I9+'c39'!I11+'c39'!I12+'c39'!I13+'c39'!I14+'c39'!I15+'c39'!I16+'c39'!I17+'c39'!I18+'c39'!I19+'c39'!I20+'c39'!I21+'c39'!I23+'c40'!I6+'c40'!I7+'c40'!I8+'c40'!I9+'c40'!I10+'c40'!I13+'c40'!I14+'c41'!C11+'c42'!C11-'c42'!M11</f>
        <v>2875</v>
      </c>
      <c r="E12" s="419">
        <f>+'c39'!I10+'c39'!I22+'c39'!I24+'c39'!I25+'c40'!I11+'c40'!I12+'c40'!I15+'c40'!I16+'c40'!I17+'c40'!I18+'c40'!I19+'c40'!I20+'c42'!M11+'c43'!C11+'c44'!C11+'c45'!C11</f>
        <v>8948</v>
      </c>
      <c r="F12" s="262">
        <v>100</v>
      </c>
      <c r="G12" s="262">
        <f t="shared" si="1"/>
        <v>24.31700921931828</v>
      </c>
      <c r="H12" s="262">
        <f t="shared" si="2"/>
        <v>75.68299078068172</v>
      </c>
      <c r="K12" s="404"/>
    </row>
    <row r="13" spans="2:21" ht="16.5" customHeight="1" thickTop="1" thickBot="1">
      <c r="B13" s="253">
        <v>2017</v>
      </c>
      <c r="C13" s="413">
        <f t="shared" si="0"/>
        <v>11155</v>
      </c>
      <c r="D13" s="419">
        <f>+'c39'!J6+'c39'!J7+'c39'!J8+'c39'!J9+'c39'!J11+'c39'!J12+'c39'!J13+'c39'!J14+'c39'!J15+'c39'!J16+'c39'!J17+'c39'!J18+'c39'!J19+'c39'!J20+'c39'!J21+'c39'!J23+'c40'!J6+'c40'!J7+'c40'!J8+'c40'!J9+'c40'!J10+'c40'!J13+'c40'!J14+'c41'!C12+'c42'!C12-'c42'!M12</f>
        <v>2431</v>
      </c>
      <c r="E13" s="419">
        <f>+'c39'!J10+'c39'!J22+'c39'!J24+'c39'!J25+'c40'!J11+'c40'!J12+'c40'!J15+'c40'!J16+'c40'!J17+'c40'!J18+'c40'!J19+'c40'!J20+'c42'!M12+'c43'!C12+'c44'!C12+'c45'!C12</f>
        <v>8724</v>
      </c>
      <c r="F13" s="262">
        <v>100</v>
      </c>
      <c r="G13" s="262">
        <f t="shared" si="1"/>
        <v>21.792917974002691</v>
      </c>
      <c r="H13" s="262">
        <f t="shared" si="2"/>
        <v>78.207082025997309</v>
      </c>
      <c r="K13" s="404"/>
    </row>
    <row r="14" spans="2:21" ht="16.5" customHeight="1" thickTop="1" thickBot="1">
      <c r="B14" s="253">
        <v>2018</v>
      </c>
      <c r="C14" s="413">
        <f t="shared" si="0"/>
        <v>11461</v>
      </c>
      <c r="D14" s="419">
        <f>+'c39'!K6+'c39'!K7+'c39'!K8+'c39'!K9+'c39'!K11+'c39'!K12+'c39'!K13+'c39'!K14+'c39'!K15+'c39'!K16+'c39'!K17+'c39'!K18+'c39'!K19+'c39'!K20+'c39'!K21+'c39'!K23+'c40'!K6+'c40'!K7+'c40'!K8+'c40'!K9+'c40'!K10+'c40'!K13+'c40'!K14+'c41'!C13+'c42'!C13-'c42'!M13</f>
        <v>2599</v>
      </c>
      <c r="E14" s="419">
        <f>+'c39'!K10+'c39'!K22+'c39'!K24+'c39'!K25+'c40'!K11+'c40'!K12+'c40'!K15+'c40'!K16+'c40'!K17+'c40'!K18+'c40'!K19+'c40'!K20+'c42'!M13+'c43'!C13+'c44'!C13+'c45'!C13</f>
        <v>8862</v>
      </c>
      <c r="F14" s="262">
        <v>100</v>
      </c>
      <c r="G14" s="262">
        <f>+(D14/C14)*100</f>
        <v>22.676904284093883</v>
      </c>
      <c r="H14" s="262">
        <f>+(E14/C14)*100</f>
        <v>77.323095715906121</v>
      </c>
      <c r="K14" s="404"/>
    </row>
    <row r="15" spans="2:21" ht="16.5" customHeight="1" thickTop="1" thickBot="1">
      <c r="B15" s="248"/>
      <c r="C15" s="249"/>
      <c r="D15" s="249"/>
      <c r="E15" s="249"/>
      <c r="F15" s="353"/>
      <c r="G15" s="353"/>
      <c r="H15" s="353"/>
    </row>
    <row r="16" spans="2:21" ht="16.5" customHeight="1" thickTop="1" thickBot="1">
      <c r="B16" s="466" t="s">
        <v>185</v>
      </c>
      <c r="C16" s="467"/>
      <c r="D16" s="467"/>
      <c r="E16" s="467"/>
      <c r="F16" s="467"/>
      <c r="G16" s="467"/>
      <c r="H16" s="581"/>
    </row>
    <row r="17" spans="2:9" ht="15.75" thickTop="1" thickBot="1">
      <c r="B17" s="580" t="s">
        <v>1094</v>
      </c>
      <c r="C17" s="467"/>
      <c r="D17" s="467"/>
      <c r="E17" s="467"/>
      <c r="F17" s="467"/>
      <c r="G17" s="467"/>
      <c r="H17" s="581"/>
      <c r="I17" s="404"/>
    </row>
    <row r="18" spans="2:9" ht="15.75" thickTop="1" thickBot="1">
      <c r="B18" s="580" t="s">
        <v>1095</v>
      </c>
      <c r="C18" s="467"/>
      <c r="D18" s="467"/>
      <c r="E18" s="467"/>
      <c r="F18" s="467"/>
      <c r="G18" s="467"/>
      <c r="H18" s="581"/>
    </row>
    <row r="19" spans="2:9" ht="13.5" thickTop="1"/>
    <row r="20" spans="2:9" ht="13.5">
      <c r="B20" s="159"/>
      <c r="C20" s="159"/>
      <c r="D20" s="159"/>
      <c r="E20" s="161"/>
      <c r="F20" s="159"/>
      <c r="G20" s="159"/>
      <c r="H20" s="159"/>
    </row>
    <row r="21" spans="2:9" ht="15">
      <c r="B21" s="159"/>
      <c r="C21" s="200"/>
      <c r="D21" s="161"/>
      <c r="E21" s="173"/>
      <c r="F21" s="159"/>
      <c r="G21" s="46"/>
      <c r="H21" s="46"/>
    </row>
    <row r="22" spans="2:9" ht="15">
      <c r="B22" s="159"/>
      <c r="C22" s="159"/>
      <c r="D22" s="173"/>
      <c r="E22" s="159"/>
      <c r="F22" s="159"/>
      <c r="G22" s="46"/>
      <c r="H22" s="159"/>
    </row>
    <row r="23" spans="2:9" ht="13.5">
      <c r="B23" s="159"/>
      <c r="C23" s="159"/>
      <c r="D23" s="161"/>
      <c r="E23" s="159"/>
      <c r="F23" s="173"/>
      <c r="G23" s="159"/>
      <c r="H23" s="159"/>
    </row>
    <row r="24" spans="2:9" ht="13.5">
      <c r="B24" s="159"/>
      <c r="C24" s="159"/>
      <c r="D24" s="161"/>
      <c r="E24" s="159"/>
      <c r="F24" s="159"/>
      <c r="G24" s="162"/>
      <c r="H24" s="159"/>
    </row>
    <row r="25" spans="2:9" ht="13.5">
      <c r="B25" s="159"/>
      <c r="C25" s="159"/>
      <c r="D25" s="161"/>
      <c r="E25" s="159"/>
      <c r="F25" s="159"/>
      <c r="G25" s="159"/>
      <c r="H25" s="159"/>
    </row>
    <row r="26" spans="2:9" ht="13.5">
      <c r="B26" s="159"/>
      <c r="C26" s="159"/>
      <c r="D26" s="159"/>
      <c r="E26" s="159"/>
      <c r="F26" s="159"/>
      <c r="G26" s="159"/>
      <c r="H26" s="159"/>
    </row>
    <row r="27" spans="2:9">
      <c r="B27" s="163"/>
      <c r="C27" s="163"/>
      <c r="D27" s="163"/>
      <c r="E27" s="163"/>
      <c r="F27" s="163"/>
      <c r="G27" s="163"/>
      <c r="H27" s="163"/>
    </row>
    <row r="28" spans="2:9">
      <c r="B28" s="163"/>
      <c r="C28" s="163"/>
      <c r="D28" s="163"/>
      <c r="E28" s="163"/>
      <c r="F28" s="163"/>
      <c r="G28" s="163"/>
      <c r="H28" s="163"/>
    </row>
    <row r="29" spans="2:9">
      <c r="B29" s="163"/>
      <c r="C29" s="163"/>
      <c r="D29" s="163"/>
      <c r="E29" s="163"/>
      <c r="F29" s="163"/>
      <c r="G29" s="163"/>
      <c r="H29" s="163"/>
    </row>
    <row r="30" spans="2:9">
      <c r="B30" s="163"/>
      <c r="C30" s="163"/>
      <c r="D30" s="163"/>
      <c r="E30" s="163"/>
      <c r="F30" s="163"/>
      <c r="G30" s="163"/>
      <c r="H30" s="163"/>
    </row>
    <row r="31" spans="2:9">
      <c r="B31" s="163"/>
      <c r="C31" s="163"/>
      <c r="D31" s="163"/>
      <c r="E31" s="163"/>
      <c r="F31" s="163"/>
      <c r="G31" s="163"/>
      <c r="H31" s="163"/>
    </row>
    <row r="32" spans="2:9">
      <c r="B32" s="163"/>
      <c r="C32" s="163"/>
      <c r="D32" s="163"/>
      <c r="E32" s="163"/>
      <c r="F32" s="163"/>
      <c r="G32" s="163"/>
      <c r="H32" s="163"/>
    </row>
    <row r="33" spans="2:8">
      <c r="B33" s="163"/>
      <c r="C33" s="163"/>
      <c r="D33" s="163"/>
      <c r="E33" s="163"/>
      <c r="F33" s="163"/>
      <c r="G33" s="163"/>
      <c r="H33" s="163"/>
    </row>
    <row r="34" spans="2:8">
      <c r="B34" s="163"/>
      <c r="C34" s="163"/>
      <c r="D34" s="163"/>
      <c r="E34" s="163"/>
      <c r="F34" s="163"/>
      <c r="G34" s="163"/>
      <c r="H34" s="163"/>
    </row>
  </sheetData>
  <mergeCells count="8">
    <mergeCell ref="B2:H2"/>
    <mergeCell ref="B3:H3"/>
    <mergeCell ref="B18:H18"/>
    <mergeCell ref="B16:H16"/>
    <mergeCell ref="B4:B5"/>
    <mergeCell ref="C4:E4"/>
    <mergeCell ref="F4:H4"/>
    <mergeCell ref="B17:H17"/>
  </mergeCells>
  <hyperlinks>
    <hyperlink ref="B3:H3" location="'Capitulo 4'!B35" display="Número de BFV pagados dentro y fuera del Gran Área Metropolitana. 2005-2018." xr:uid="{00000000-0004-0000-3300-000000000000}"/>
  </hyperlinks>
  <pageMargins left="0.7" right="0.7" top="0.75" bottom="0.75" header="0.3" footer="0.3"/>
  <pageSetup orientation="portrait" verticalDpi="0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B2:F21"/>
  <sheetViews>
    <sheetView showGridLines="0" workbookViewId="0">
      <pane ySplit="4" topLeftCell="A5" activePane="bottomLeft" state="frozen"/>
      <selection pane="bottomLeft" activeCell="B2" sqref="B2:E2"/>
    </sheetView>
  </sheetViews>
  <sheetFormatPr baseColWidth="10" defaultRowHeight="12.75"/>
  <cols>
    <col min="2" max="2" width="29.140625" customWidth="1"/>
    <col min="3" max="3" width="24.5703125" customWidth="1"/>
    <col min="4" max="4" width="28.28515625" customWidth="1"/>
    <col min="5" max="5" width="27" customWidth="1"/>
  </cols>
  <sheetData>
    <row r="2" spans="2:6" ht="15">
      <c r="B2" s="462" t="s">
        <v>483</v>
      </c>
      <c r="C2" s="462"/>
      <c r="D2" s="462"/>
      <c r="E2" s="462"/>
    </row>
    <row r="3" spans="2:6" ht="33" customHeight="1" thickBot="1">
      <c r="B3" s="482" t="s">
        <v>596</v>
      </c>
      <c r="C3" s="482"/>
      <c r="D3" s="482"/>
      <c r="E3" s="482"/>
      <c r="F3" s="164"/>
    </row>
    <row r="4" spans="2:6" ht="38.25" customHeight="1" thickTop="1" thickBot="1">
      <c r="B4" s="327" t="s">
        <v>115</v>
      </c>
      <c r="C4" s="327" t="s">
        <v>254</v>
      </c>
      <c r="D4" s="327" t="s">
        <v>338</v>
      </c>
      <c r="E4" s="327" t="s">
        <v>336</v>
      </c>
      <c r="F4" s="164"/>
    </row>
    <row r="5" spans="2:6" ht="14.25" thickTop="1" thickBot="1">
      <c r="B5" s="272" t="s">
        <v>116</v>
      </c>
      <c r="C5" s="413">
        <f>+'c48'!C51</f>
        <v>2588</v>
      </c>
      <c r="D5" s="321">
        <f>+'c48'!D51</f>
        <v>23336329116.099998</v>
      </c>
      <c r="E5" s="321">
        <f>+D5/C5</f>
        <v>9017128.7156491484</v>
      </c>
      <c r="F5" s="164"/>
    </row>
    <row r="6" spans="2:6" ht="14.25" thickTop="1" thickBot="1">
      <c r="B6" s="272" t="s">
        <v>117</v>
      </c>
      <c r="C6" s="413">
        <f>+'c49'!C16</f>
        <v>1201</v>
      </c>
      <c r="D6" s="321">
        <f>+'c49'!D16</f>
        <v>13440646608</v>
      </c>
      <c r="E6" s="321">
        <f t="shared" ref="E6:E11" si="0">+D6/C6</f>
        <v>11191212.829308908</v>
      </c>
      <c r="F6" s="164"/>
    </row>
    <row r="7" spans="2:6" ht="14.25" thickTop="1" thickBot="1">
      <c r="B7" s="272" t="s">
        <v>118</v>
      </c>
      <c r="C7" s="413">
        <f>+'c50'!C13</f>
        <v>968</v>
      </c>
      <c r="D7" s="321">
        <f>+'c50'!D13</f>
        <v>13081752832</v>
      </c>
      <c r="E7" s="321">
        <f t="shared" si="0"/>
        <v>13514207.47107438</v>
      </c>
      <c r="F7" s="164"/>
    </row>
    <row r="8" spans="2:6" ht="14.25" thickTop="1" thickBot="1">
      <c r="B8" s="272" t="s">
        <v>119</v>
      </c>
      <c r="C8" s="413">
        <f>+'c51'!C11</f>
        <v>2391</v>
      </c>
      <c r="D8" s="321">
        <f>+'c51'!D11</f>
        <v>19022533207</v>
      </c>
      <c r="E8" s="321">
        <f t="shared" si="0"/>
        <v>7955890.0907570058</v>
      </c>
      <c r="F8" s="164"/>
    </row>
    <row r="9" spans="2:6" ht="14.25" thickTop="1" thickBot="1">
      <c r="B9" s="272" t="s">
        <v>275</v>
      </c>
      <c r="C9" s="413">
        <f>+'c52'!C11</f>
        <v>2204</v>
      </c>
      <c r="D9" s="321">
        <f>+'c52'!D11</f>
        <v>18874329538</v>
      </c>
      <c r="E9" s="321">
        <f t="shared" si="0"/>
        <v>8563670.3892921954</v>
      </c>
      <c r="F9" s="164"/>
    </row>
    <row r="10" spans="2:6" ht="14.25" thickTop="1" thickBot="1">
      <c r="B10" s="272" t="s">
        <v>120</v>
      </c>
      <c r="C10" s="413">
        <f>+'c53'!C13</f>
        <v>2109</v>
      </c>
      <c r="D10" s="321">
        <f>+'c53'!D13</f>
        <v>17119837719</v>
      </c>
      <c r="E10" s="321">
        <f t="shared" si="0"/>
        <v>8117514.32859175</v>
      </c>
      <c r="F10" s="164"/>
    </row>
    <row r="11" spans="2:6" ht="14.25" thickTop="1" thickBot="1">
      <c r="B11" s="355" t="s">
        <v>103</v>
      </c>
      <c r="C11" s="413">
        <f>SUM(C5:C10)</f>
        <v>11461</v>
      </c>
      <c r="D11" s="321">
        <f>SUM(D5:D10)</f>
        <v>104875429020.10001</v>
      </c>
      <c r="E11" s="321">
        <f t="shared" si="0"/>
        <v>9150635.1121280864</v>
      </c>
      <c r="F11" s="164"/>
    </row>
    <row r="12" spans="2:6" ht="15" thickTop="1">
      <c r="B12" s="273"/>
      <c r="C12" s="354"/>
      <c r="D12" s="354"/>
      <c r="E12" s="237"/>
    </row>
    <row r="13" spans="2:6">
      <c r="B13" s="574" t="s">
        <v>185</v>
      </c>
      <c r="C13" s="575"/>
      <c r="D13" s="575"/>
      <c r="E13" s="575"/>
    </row>
    <row r="14" spans="2:6">
      <c r="C14" s="29"/>
    </row>
    <row r="15" spans="2:6">
      <c r="C15" s="29"/>
      <c r="D15" s="29"/>
    </row>
    <row r="17" spans="2:4">
      <c r="C17" s="29"/>
    </row>
    <row r="19" spans="2:4" ht="13.5" thickBot="1">
      <c r="B19" s="29"/>
      <c r="C19" s="181"/>
    </row>
    <row r="20" spans="2:4" ht="15.75" thickTop="1" thickBot="1">
      <c r="D20" s="182"/>
    </row>
    <row r="21" spans="2:4" ht="13.5" thickTop="1"/>
  </sheetData>
  <mergeCells count="3">
    <mergeCell ref="B2:E2"/>
    <mergeCell ref="B3:E3"/>
    <mergeCell ref="B13:E13"/>
  </mergeCells>
  <hyperlinks>
    <hyperlink ref="B3:E3" location="'Capitulo 4'!B36" display="Número y monto de BFV pagados según región. 2018. " xr:uid="{00000000-0004-0000-3400-000000000000}"/>
  </hyperlinks>
  <printOptions horizontalCentered="1" verticalCentered="1"/>
  <pageMargins left="0.74803149606299213" right="0.74803149606299213" top="0.98425196850393704" bottom="0.98425196850393704" header="0" footer="0"/>
  <pageSetup scale="85" orientation="portrait" verticalDpi="0" r:id="rId1"/>
  <headerFooter alignWithMargins="0"/>
  <ignoredErrors>
    <ignoredError sqref="E6:E7 E8:E10" evalError="1"/>
  </ignoredError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B2:F61"/>
  <sheetViews>
    <sheetView showGridLines="0" workbookViewId="0">
      <pane ySplit="4" topLeftCell="A11" activePane="bottomLeft" state="frozen"/>
      <selection pane="bottomLeft" activeCell="B2" sqref="B2:E2"/>
    </sheetView>
  </sheetViews>
  <sheetFormatPr baseColWidth="10" defaultRowHeight="12.75"/>
  <cols>
    <col min="1" max="1" width="7.5703125" customWidth="1"/>
    <col min="2" max="2" width="52.5703125" customWidth="1"/>
    <col min="3" max="3" width="15" customWidth="1"/>
    <col min="4" max="4" width="28.85546875" customWidth="1"/>
    <col min="5" max="5" width="15.85546875" bestFit="1" customWidth="1"/>
    <col min="6" max="6" width="12.7109375" bestFit="1" customWidth="1"/>
  </cols>
  <sheetData>
    <row r="2" spans="2:6" ht="15">
      <c r="B2" s="462" t="s">
        <v>591</v>
      </c>
      <c r="C2" s="462"/>
      <c r="D2" s="462"/>
      <c r="E2" s="462"/>
    </row>
    <row r="3" spans="2:6" ht="33" customHeight="1" thickBot="1">
      <c r="B3" s="482" t="s">
        <v>597</v>
      </c>
      <c r="C3" s="482"/>
      <c r="D3" s="482"/>
      <c r="E3" s="482"/>
      <c r="F3" s="164"/>
    </row>
    <row r="4" spans="2:6" ht="52.5" thickTop="1" thickBot="1">
      <c r="B4" s="327" t="s">
        <v>15</v>
      </c>
      <c r="C4" s="327" t="s">
        <v>254</v>
      </c>
      <c r="D4" s="327" t="s">
        <v>339</v>
      </c>
      <c r="E4" s="327" t="s">
        <v>336</v>
      </c>
      <c r="F4" s="164"/>
    </row>
    <row r="5" spans="2:6" ht="14.25" thickTop="1" thickBot="1">
      <c r="B5" s="272" t="s">
        <v>16</v>
      </c>
      <c r="C5" s="413">
        <v>118</v>
      </c>
      <c r="D5" s="321">
        <v>729547581</v>
      </c>
      <c r="E5" s="321">
        <f>+D5/C5</f>
        <v>6182606.618644068</v>
      </c>
      <c r="F5" s="164"/>
    </row>
    <row r="6" spans="2:6" ht="14.25" thickTop="1" thickBot="1">
      <c r="B6" s="272" t="s">
        <v>17</v>
      </c>
      <c r="C6" s="413">
        <v>5</v>
      </c>
      <c r="D6" s="321">
        <v>55299818</v>
      </c>
      <c r="E6" s="321">
        <f t="shared" ref="E6:E50" si="0">+D6/C6</f>
        <v>11059963.6</v>
      </c>
      <c r="F6" s="164"/>
    </row>
    <row r="7" spans="2:6" ht="14.25" thickTop="1" thickBot="1">
      <c r="B7" s="272" t="s">
        <v>19</v>
      </c>
      <c r="C7" s="413">
        <v>270</v>
      </c>
      <c r="D7" s="321">
        <v>4141278681</v>
      </c>
      <c r="E7" s="321">
        <f>+D7/C7</f>
        <v>15338069.188888889</v>
      </c>
      <c r="F7" s="164"/>
    </row>
    <row r="8" spans="2:6" ht="14.25" thickTop="1" thickBot="1">
      <c r="B8" s="272" t="s">
        <v>40</v>
      </c>
      <c r="C8" s="413">
        <v>92</v>
      </c>
      <c r="D8" s="321">
        <v>635671522</v>
      </c>
      <c r="E8" s="321">
        <f t="shared" si="0"/>
        <v>6909473.0652173916</v>
      </c>
      <c r="F8" s="164"/>
    </row>
    <row r="9" spans="2:6" ht="14.25" thickTop="1" thickBot="1">
      <c r="B9" s="272" t="s">
        <v>41</v>
      </c>
      <c r="C9" s="413">
        <v>36</v>
      </c>
      <c r="D9" s="321">
        <v>247767112</v>
      </c>
      <c r="E9" s="321">
        <f t="shared" si="0"/>
        <v>6882419.777777778</v>
      </c>
      <c r="F9" s="164"/>
    </row>
    <row r="10" spans="2:6" ht="14.25" thickTop="1" thickBot="1">
      <c r="B10" s="272" t="s">
        <v>20</v>
      </c>
      <c r="C10" s="413">
        <v>87</v>
      </c>
      <c r="D10" s="321">
        <v>582274452</v>
      </c>
      <c r="E10" s="321">
        <f t="shared" si="0"/>
        <v>6692809.7931034481</v>
      </c>
      <c r="F10" s="164"/>
    </row>
    <row r="11" spans="2:6" ht="14.25" thickTop="1" thickBot="1">
      <c r="B11" s="272" t="s">
        <v>21</v>
      </c>
      <c r="C11" s="413">
        <v>55</v>
      </c>
      <c r="D11" s="321">
        <v>440228031</v>
      </c>
      <c r="E11" s="321">
        <f t="shared" si="0"/>
        <v>8004146.0181818185</v>
      </c>
      <c r="F11" s="164"/>
    </row>
    <row r="12" spans="2:6" ht="14.25" thickTop="1" thickBot="1">
      <c r="B12" s="272" t="s">
        <v>22</v>
      </c>
      <c r="C12" s="413">
        <v>104</v>
      </c>
      <c r="D12" s="321">
        <v>2156708050</v>
      </c>
      <c r="E12" s="321">
        <f t="shared" si="0"/>
        <v>20737577.403846152</v>
      </c>
      <c r="F12" s="164"/>
    </row>
    <row r="13" spans="2:6" ht="14.25" thickTop="1" thickBot="1">
      <c r="B13" s="272" t="s">
        <v>23</v>
      </c>
      <c r="C13" s="413">
        <v>1</v>
      </c>
      <c r="D13" s="321">
        <v>6500000</v>
      </c>
      <c r="E13" s="321" t="s">
        <v>156</v>
      </c>
      <c r="F13" s="164"/>
    </row>
    <row r="14" spans="2:6" ht="14.25" thickTop="1" thickBot="1">
      <c r="B14" s="272" t="s">
        <v>24</v>
      </c>
      <c r="C14" s="413">
        <v>25</v>
      </c>
      <c r="D14" s="321">
        <v>194276203</v>
      </c>
      <c r="E14" s="321">
        <f t="shared" si="0"/>
        <v>7771048.1200000001</v>
      </c>
      <c r="F14" s="164"/>
    </row>
    <row r="15" spans="2:6" ht="14.25" thickTop="1" thickBot="1">
      <c r="B15" s="272" t="s">
        <v>432</v>
      </c>
      <c r="C15" s="413">
        <v>15</v>
      </c>
      <c r="D15" s="321">
        <v>84287000</v>
      </c>
      <c r="E15" s="321">
        <f t="shared" si="0"/>
        <v>5619133.333333333</v>
      </c>
      <c r="F15" s="164"/>
    </row>
    <row r="16" spans="2:6" ht="14.25" thickTop="1" thickBot="1">
      <c r="B16" s="272" t="s">
        <v>42</v>
      </c>
      <c r="C16" s="413">
        <v>87</v>
      </c>
      <c r="D16" s="321">
        <v>590531490</v>
      </c>
      <c r="E16" s="321">
        <f t="shared" si="0"/>
        <v>6787718.2758620689</v>
      </c>
      <c r="F16" s="164"/>
    </row>
    <row r="17" spans="2:6" ht="14.25" thickTop="1" thickBot="1">
      <c r="B17" s="272" t="s">
        <v>25</v>
      </c>
      <c r="C17" s="413">
        <v>17</v>
      </c>
      <c r="D17" s="321">
        <v>109677916</v>
      </c>
      <c r="E17" s="321">
        <f t="shared" si="0"/>
        <v>6451642.1176470593</v>
      </c>
      <c r="F17" s="164"/>
    </row>
    <row r="18" spans="2:6" ht="14.25" thickTop="1" thickBot="1">
      <c r="B18" s="272" t="s">
        <v>26</v>
      </c>
      <c r="C18" s="413">
        <v>9</v>
      </c>
      <c r="D18" s="321">
        <v>65449723</v>
      </c>
      <c r="E18" s="321">
        <f t="shared" si="0"/>
        <v>7272191.444444444</v>
      </c>
      <c r="F18" s="164"/>
    </row>
    <row r="19" spans="2:6" ht="14.25" thickTop="1" thickBot="1">
      <c r="B19" s="272" t="s">
        <v>27</v>
      </c>
      <c r="C19" s="413">
        <v>2</v>
      </c>
      <c r="D19" s="321">
        <v>16100000</v>
      </c>
      <c r="E19" s="321">
        <f t="shared" si="0"/>
        <v>8050000</v>
      </c>
      <c r="F19" s="164"/>
    </row>
    <row r="20" spans="2:6" ht="14.25" thickTop="1" thickBot="1">
      <c r="B20" s="272" t="s">
        <v>43</v>
      </c>
      <c r="C20" s="413">
        <v>75</v>
      </c>
      <c r="D20" s="321">
        <v>1469290929</v>
      </c>
      <c r="E20" s="321">
        <f t="shared" si="0"/>
        <v>19590545.719999999</v>
      </c>
      <c r="F20" s="164"/>
    </row>
    <row r="21" spans="2:6" ht="14.25" thickTop="1" thickBot="1">
      <c r="B21" s="272" t="s">
        <v>44</v>
      </c>
      <c r="C21" s="413">
        <v>22</v>
      </c>
      <c r="D21" s="321">
        <v>134334000</v>
      </c>
      <c r="E21" s="321">
        <f t="shared" si="0"/>
        <v>6106090.9090909092</v>
      </c>
      <c r="F21" s="164"/>
    </row>
    <row r="22" spans="2:6" ht="14.25" thickTop="1" thickBot="1">
      <c r="B22" s="272" t="s">
        <v>28</v>
      </c>
      <c r="C22" s="413">
        <v>3</v>
      </c>
      <c r="D22" s="321">
        <v>16578000</v>
      </c>
      <c r="E22" s="321">
        <f t="shared" si="0"/>
        <v>5526000</v>
      </c>
      <c r="F22" s="164"/>
    </row>
    <row r="23" spans="2:6" ht="14.25" thickTop="1" thickBot="1">
      <c r="B23" s="272" t="s">
        <v>45</v>
      </c>
      <c r="C23" s="413">
        <v>35</v>
      </c>
      <c r="D23" s="321">
        <v>234198000</v>
      </c>
      <c r="E23" s="321">
        <f t="shared" si="0"/>
        <v>6691371.4285714282</v>
      </c>
      <c r="F23" s="164"/>
    </row>
    <row r="24" spans="2:6" ht="14.25" thickTop="1" thickBot="1">
      <c r="B24" s="272" t="s">
        <v>255</v>
      </c>
      <c r="C24" s="413">
        <f>54-7</f>
        <v>47</v>
      </c>
      <c r="D24" s="321">
        <f>326930924-45493000</f>
        <v>281437924</v>
      </c>
      <c r="E24" s="321">
        <f t="shared" si="0"/>
        <v>5988040.9361702129</v>
      </c>
      <c r="F24" s="164"/>
    </row>
    <row r="25" spans="2:6" ht="14.25" thickTop="1" thickBot="1">
      <c r="B25" s="272" t="s">
        <v>256</v>
      </c>
      <c r="C25" s="413">
        <f>292-56</f>
        <v>236</v>
      </c>
      <c r="D25" s="321">
        <f>1973404037-368027000</f>
        <v>1605377037</v>
      </c>
      <c r="E25" s="321">
        <f>+D25/C25</f>
        <v>6802445.072033898</v>
      </c>
      <c r="F25" s="164"/>
    </row>
    <row r="26" spans="2:6" ht="14.25" thickTop="1" thickBot="1">
      <c r="B26" s="272" t="s">
        <v>257</v>
      </c>
      <c r="C26" s="413">
        <f>138-59</f>
        <v>79</v>
      </c>
      <c r="D26" s="321">
        <f>997067967-399137471.9</f>
        <v>597930495.10000002</v>
      </c>
      <c r="E26" s="321">
        <f t="shared" si="0"/>
        <v>7568740.4443037976</v>
      </c>
      <c r="F26" s="164"/>
    </row>
    <row r="27" spans="2:6" ht="14.25" thickTop="1" thickBot="1">
      <c r="B27" s="272" t="s">
        <v>47</v>
      </c>
      <c r="C27" s="413">
        <v>15</v>
      </c>
      <c r="D27" s="321">
        <v>105555000</v>
      </c>
      <c r="E27" s="321">
        <f t="shared" si="0"/>
        <v>7037000</v>
      </c>
      <c r="F27" s="165"/>
    </row>
    <row r="28" spans="2:6" ht="14.25" thickTop="1" thickBot="1">
      <c r="B28" s="272" t="s">
        <v>48</v>
      </c>
      <c r="C28" s="413">
        <v>102</v>
      </c>
      <c r="D28" s="321">
        <v>632555000</v>
      </c>
      <c r="E28" s="321">
        <f t="shared" si="0"/>
        <v>6201519.6078431373</v>
      </c>
      <c r="F28" s="164"/>
    </row>
    <row r="29" spans="2:6" ht="14.25" thickTop="1" thickBot="1">
      <c r="B29" s="272" t="s">
        <v>49</v>
      </c>
      <c r="C29" s="413">
        <v>41</v>
      </c>
      <c r="D29" s="321">
        <v>268764000</v>
      </c>
      <c r="E29" s="321">
        <f t="shared" si="0"/>
        <v>6555219.5121951215</v>
      </c>
      <c r="F29" s="164"/>
    </row>
    <row r="30" spans="2:6" ht="14.25" thickTop="1" thickBot="1">
      <c r="B30" s="272" t="s">
        <v>50</v>
      </c>
      <c r="C30" s="413">
        <v>16</v>
      </c>
      <c r="D30" s="321">
        <v>123534049</v>
      </c>
      <c r="E30" s="321">
        <f t="shared" si="0"/>
        <v>7720878.0625</v>
      </c>
      <c r="F30" s="164"/>
    </row>
    <row r="31" spans="2:6" ht="14.25" thickTop="1" thickBot="1">
      <c r="B31" s="272" t="s">
        <v>53</v>
      </c>
      <c r="C31" s="413">
        <v>29</v>
      </c>
      <c r="D31" s="321">
        <v>188727000</v>
      </c>
      <c r="E31" s="321">
        <f t="shared" si="0"/>
        <v>6507827.5862068962</v>
      </c>
      <c r="F31" s="164"/>
    </row>
    <row r="32" spans="2:6" ht="14.25" thickTop="1" thickBot="1">
      <c r="B32" s="272" t="s">
        <v>54</v>
      </c>
      <c r="C32" s="413">
        <v>59</v>
      </c>
      <c r="D32" s="321">
        <v>371977000</v>
      </c>
      <c r="E32" s="321">
        <f t="shared" si="0"/>
        <v>6304694.9152542371</v>
      </c>
      <c r="F32" s="164"/>
    </row>
    <row r="33" spans="2:6" ht="14.25" thickTop="1" thickBot="1">
      <c r="B33" s="272" t="s">
        <v>34</v>
      </c>
      <c r="C33" s="413">
        <v>29</v>
      </c>
      <c r="D33" s="321">
        <v>308507779</v>
      </c>
      <c r="E33" s="321">
        <f>+D33/C33</f>
        <v>10638199.27586207</v>
      </c>
      <c r="F33" s="164"/>
    </row>
    <row r="34" spans="2:6" ht="14.25" thickTop="1" thickBot="1">
      <c r="B34" s="272" t="s">
        <v>35</v>
      </c>
      <c r="C34" s="413">
        <v>6</v>
      </c>
      <c r="D34" s="321">
        <v>42004000</v>
      </c>
      <c r="E34" s="321">
        <f t="shared" si="0"/>
        <v>7000666.666666667</v>
      </c>
      <c r="F34" s="164"/>
    </row>
    <row r="35" spans="2:6" ht="14.25" thickTop="1" thickBot="1">
      <c r="B35" s="272" t="s">
        <v>61</v>
      </c>
      <c r="C35" s="413">
        <v>4</v>
      </c>
      <c r="D35" s="321">
        <v>24597000</v>
      </c>
      <c r="E35" s="321">
        <f t="shared" si="0"/>
        <v>6149250</v>
      </c>
      <c r="F35" s="164"/>
    </row>
    <row r="36" spans="2:6" ht="14.25" thickTop="1" thickBot="1">
      <c r="B36" s="272" t="s">
        <v>62</v>
      </c>
      <c r="C36" s="413">
        <v>14</v>
      </c>
      <c r="D36" s="321">
        <v>86382000</v>
      </c>
      <c r="E36" s="321">
        <f t="shared" si="0"/>
        <v>6170142.8571428573</v>
      </c>
      <c r="F36" s="164"/>
    </row>
    <row r="37" spans="2:6" ht="14.25" thickTop="1" thickBot="1">
      <c r="B37" s="272" t="s">
        <v>18</v>
      </c>
      <c r="C37" s="413">
        <v>6</v>
      </c>
      <c r="D37" s="321">
        <v>36155000</v>
      </c>
      <c r="E37" s="321">
        <f t="shared" si="0"/>
        <v>6025833.333333333</v>
      </c>
      <c r="F37" s="164"/>
    </row>
    <row r="38" spans="2:6" ht="14.25" thickTop="1" thickBot="1">
      <c r="B38" s="272" t="s">
        <v>63</v>
      </c>
      <c r="C38" s="413">
        <v>5</v>
      </c>
      <c r="D38" s="321">
        <v>34286000</v>
      </c>
      <c r="E38" s="321">
        <f t="shared" si="0"/>
        <v>6857200</v>
      </c>
      <c r="F38" s="164"/>
    </row>
    <row r="39" spans="2:6" ht="14.25" thickTop="1" thickBot="1">
      <c r="B39" s="272" t="s">
        <v>36</v>
      </c>
      <c r="C39" s="413">
        <v>40</v>
      </c>
      <c r="D39" s="321">
        <v>972216432</v>
      </c>
      <c r="E39" s="321">
        <f t="shared" si="0"/>
        <v>24305410.800000001</v>
      </c>
      <c r="F39" s="164"/>
    </row>
    <row r="40" spans="2:6" ht="14.25" thickTop="1" thickBot="1">
      <c r="B40" s="272" t="s">
        <v>37</v>
      </c>
      <c r="C40" s="413">
        <v>2</v>
      </c>
      <c r="D40" s="321">
        <v>8838000</v>
      </c>
      <c r="E40" s="321" t="s">
        <v>156</v>
      </c>
      <c r="F40" s="164"/>
    </row>
    <row r="41" spans="2:6" ht="14.25" thickTop="1" thickBot="1">
      <c r="B41" s="272" t="s">
        <v>64</v>
      </c>
      <c r="C41" s="413">
        <v>2</v>
      </c>
      <c r="D41" s="321">
        <v>13861000</v>
      </c>
      <c r="E41" s="321" t="s">
        <v>156</v>
      </c>
      <c r="F41" s="164"/>
    </row>
    <row r="42" spans="2:6" ht="14.25" thickTop="1" thickBot="1">
      <c r="B42" s="272" t="s">
        <v>258</v>
      </c>
      <c r="C42" s="413">
        <v>1</v>
      </c>
      <c r="D42" s="321">
        <v>10275000</v>
      </c>
      <c r="E42" s="321" t="s">
        <v>156</v>
      </c>
      <c r="F42" s="164"/>
    </row>
    <row r="43" spans="2:6" ht="14.25" thickTop="1" thickBot="1">
      <c r="B43" s="272" t="s">
        <v>102</v>
      </c>
      <c r="C43" s="413">
        <v>169</v>
      </c>
      <c r="D43" s="321">
        <v>1244333839</v>
      </c>
      <c r="E43" s="321">
        <f t="shared" si="0"/>
        <v>7362922.1242603548</v>
      </c>
      <c r="F43" s="164"/>
    </row>
    <row r="44" spans="2:6" ht="14.25" thickTop="1" thickBot="1">
      <c r="B44" s="272" t="s">
        <v>30</v>
      </c>
      <c r="C44" s="413">
        <v>117</v>
      </c>
      <c r="D44" s="321">
        <v>778698136</v>
      </c>
      <c r="E44" s="321">
        <f>+D44/C44</f>
        <v>6655539.623931624</v>
      </c>
      <c r="F44" s="164"/>
    </row>
    <row r="45" spans="2:6" ht="14.25" thickTop="1" thickBot="1">
      <c r="B45" s="272" t="s">
        <v>31</v>
      </c>
      <c r="C45" s="413">
        <v>25</v>
      </c>
      <c r="D45" s="321">
        <v>160410000</v>
      </c>
      <c r="E45" s="321">
        <f t="shared" si="0"/>
        <v>6416400</v>
      </c>
      <c r="F45" s="164"/>
    </row>
    <row r="46" spans="2:6" ht="14.25" thickTop="1" thickBot="1">
      <c r="B46" s="272" t="s">
        <v>58</v>
      </c>
      <c r="C46" s="413">
        <v>61</v>
      </c>
      <c r="D46" s="321">
        <v>437597374</v>
      </c>
      <c r="E46" s="321">
        <f t="shared" si="0"/>
        <v>7173727.4426229512</v>
      </c>
      <c r="F46" s="164"/>
    </row>
    <row r="47" spans="2:6" ht="14.25" thickTop="1" thickBot="1">
      <c r="B47" s="272" t="s">
        <v>59</v>
      </c>
      <c r="C47" s="413">
        <v>209</v>
      </c>
      <c r="D47" s="321">
        <v>1499321804</v>
      </c>
      <c r="E47" s="321">
        <f>+D47/C47</f>
        <v>7173788.5358851673</v>
      </c>
      <c r="F47" s="164"/>
    </row>
    <row r="48" spans="2:6" ht="14.25" thickTop="1" thickBot="1">
      <c r="B48" s="272" t="s">
        <v>60</v>
      </c>
      <c r="C48" s="413">
        <v>88</v>
      </c>
      <c r="D48" s="321">
        <v>747811614</v>
      </c>
      <c r="E48" s="321">
        <f t="shared" si="0"/>
        <v>8497859.25</v>
      </c>
      <c r="F48" s="164"/>
    </row>
    <row r="49" spans="2:5" ht="14.25" thickTop="1" thickBot="1">
      <c r="B49" s="272" t="s">
        <v>32</v>
      </c>
      <c r="C49" s="413">
        <v>80</v>
      </c>
      <c r="D49" s="321">
        <v>548062125</v>
      </c>
      <c r="E49" s="321">
        <f t="shared" si="0"/>
        <v>6850776.5625</v>
      </c>
    </row>
    <row r="50" spans="2:5" ht="14.25" thickTop="1" thickBot="1">
      <c r="B50" s="272" t="s">
        <v>33</v>
      </c>
      <c r="C50" s="413">
        <v>48</v>
      </c>
      <c r="D50" s="321">
        <v>297116000</v>
      </c>
      <c r="E50" s="321">
        <f t="shared" si="0"/>
        <v>6189916.666666667</v>
      </c>
    </row>
    <row r="51" spans="2:5" ht="14.25" thickTop="1" thickBot="1">
      <c r="B51" s="274" t="s">
        <v>103</v>
      </c>
      <c r="C51" s="413">
        <f>SUM(C5:C50)</f>
        <v>2588</v>
      </c>
      <c r="D51" s="321">
        <f>SUM(D5:D50)</f>
        <v>23336329116.099998</v>
      </c>
      <c r="E51" s="321">
        <f>+D51/C51</f>
        <v>9017128.7156491484</v>
      </c>
    </row>
    <row r="52" spans="2:5" ht="15" thickTop="1">
      <c r="B52" s="356"/>
      <c r="C52" s="356"/>
      <c r="D52" s="356"/>
      <c r="E52" s="237"/>
    </row>
    <row r="53" spans="2:5">
      <c r="B53" s="574" t="s">
        <v>185</v>
      </c>
      <c r="C53" s="575"/>
      <c r="D53" s="575"/>
      <c r="E53" s="575"/>
    </row>
    <row r="54" spans="2:5">
      <c r="C54" s="29"/>
      <c r="D54" s="166"/>
    </row>
    <row r="55" spans="2:5">
      <c r="C55" s="29"/>
    </row>
    <row r="58" spans="2:5">
      <c r="B58" s="29"/>
      <c r="C58" s="29"/>
      <c r="D58" s="167"/>
    </row>
    <row r="60" spans="2:5">
      <c r="B60" s="29"/>
    </row>
    <row r="61" spans="2:5">
      <c r="D61" s="29"/>
    </row>
  </sheetData>
  <mergeCells count="3">
    <mergeCell ref="B3:E3"/>
    <mergeCell ref="B2:E2"/>
    <mergeCell ref="B53:E53"/>
  </mergeCells>
  <hyperlinks>
    <hyperlink ref="B3:E3" location="'Capitulo 4'!B37" display="Número y monto de BFV pagados en la Región Central, según cantón. 2018. " xr:uid="{00000000-0004-0000-3500-000000000000}"/>
  </hyperlinks>
  <printOptions horizontalCentered="1" verticalCentered="1"/>
  <pageMargins left="0.74803149606299213" right="0.74803149606299213" top="0.98425196850393704" bottom="0.98425196850393704" header="0" footer="0"/>
  <pageSetup scale="85" orientation="portrait" verticalDpi="0" r:id="rId1"/>
  <headerFooter alignWithMargins="0"/>
  <ignoredErrors>
    <ignoredError sqref="E5:E12 E14:E39 E43:E51" evalError="1"/>
  </ignoredErrors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B2:E19"/>
  <sheetViews>
    <sheetView showGridLines="0" workbookViewId="0">
      <pane ySplit="4" topLeftCell="A5" activePane="bottomLeft" state="frozen"/>
      <selection pane="bottomLeft" activeCell="D17" sqref="D17"/>
    </sheetView>
  </sheetViews>
  <sheetFormatPr baseColWidth="10" defaultRowHeight="12.75"/>
  <cols>
    <col min="2" max="2" width="34.7109375" customWidth="1"/>
    <col min="3" max="3" width="19.5703125" customWidth="1"/>
    <col min="4" max="4" width="26.140625" customWidth="1"/>
    <col min="5" max="5" width="24.85546875" customWidth="1"/>
  </cols>
  <sheetData>
    <row r="2" spans="2:5" ht="15">
      <c r="B2" s="462" t="s">
        <v>592</v>
      </c>
      <c r="C2" s="462"/>
      <c r="D2" s="462"/>
      <c r="E2" s="462"/>
    </row>
    <row r="3" spans="2:5" ht="24.75" customHeight="1" thickBot="1">
      <c r="B3" s="482" t="s">
        <v>598</v>
      </c>
      <c r="C3" s="482"/>
      <c r="D3" s="482"/>
      <c r="E3" s="482"/>
    </row>
    <row r="4" spans="2:5" ht="54" customHeight="1" thickTop="1" thickBot="1">
      <c r="B4" s="327" t="s">
        <v>15</v>
      </c>
      <c r="C4" s="327" t="s">
        <v>254</v>
      </c>
      <c r="D4" s="327" t="s">
        <v>259</v>
      </c>
      <c r="E4" s="327" t="s">
        <v>337</v>
      </c>
    </row>
    <row r="5" spans="2:5" ht="14.25" thickTop="1" thickBot="1">
      <c r="B5" s="272" t="s">
        <v>260</v>
      </c>
      <c r="C5" s="413">
        <v>324</v>
      </c>
      <c r="D5" s="321">
        <v>6858033634</v>
      </c>
      <c r="E5" s="321">
        <f>+D5/C5</f>
        <v>21166770.475308642</v>
      </c>
    </row>
    <row r="6" spans="2:5" ht="14.25" thickTop="1" thickBot="1">
      <c r="B6" s="272" t="s">
        <v>261</v>
      </c>
      <c r="C6" s="413">
        <v>171</v>
      </c>
      <c r="D6" s="321">
        <v>1208620603</v>
      </c>
      <c r="E6" s="321">
        <f t="shared" ref="E6:E16" si="0">+D6/C6</f>
        <v>7067956.7426900584</v>
      </c>
    </row>
    <row r="7" spans="2:5" ht="14.25" thickTop="1" thickBot="1">
      <c r="B7" s="272" t="s">
        <v>68</v>
      </c>
      <c r="C7" s="413">
        <v>168</v>
      </c>
      <c r="D7" s="321">
        <v>1238733591</v>
      </c>
      <c r="E7" s="321">
        <f t="shared" si="0"/>
        <v>7373414.2321428573</v>
      </c>
    </row>
    <row r="8" spans="2:5" ht="14.25" thickTop="1" thickBot="1">
      <c r="B8" s="272" t="s">
        <v>262</v>
      </c>
      <c r="C8" s="413">
        <v>58</v>
      </c>
      <c r="D8" s="321">
        <v>394359624</v>
      </c>
      <c r="E8" s="321">
        <f t="shared" si="0"/>
        <v>6799303.8620689651</v>
      </c>
    </row>
    <row r="9" spans="2:5" ht="14.25" thickTop="1" thickBot="1">
      <c r="B9" s="272" t="s">
        <v>70</v>
      </c>
      <c r="C9" s="413">
        <v>86</v>
      </c>
      <c r="D9" s="321">
        <v>564141000</v>
      </c>
      <c r="E9" s="321">
        <f t="shared" si="0"/>
        <v>6559779.0697674416</v>
      </c>
    </row>
    <row r="10" spans="2:5" ht="14.25" thickTop="1" thickBot="1">
      <c r="B10" s="272" t="s">
        <v>71</v>
      </c>
      <c r="C10" s="413">
        <v>48</v>
      </c>
      <c r="D10" s="321">
        <v>309904000</v>
      </c>
      <c r="E10" s="321">
        <f t="shared" si="0"/>
        <v>6456333.333333333</v>
      </c>
    </row>
    <row r="11" spans="2:5" ht="14.25" thickTop="1" thickBot="1">
      <c r="B11" s="272" t="s">
        <v>72</v>
      </c>
      <c r="C11" s="413">
        <v>47</v>
      </c>
      <c r="D11" s="321">
        <v>339444800</v>
      </c>
      <c r="E11" s="321">
        <f t="shared" si="0"/>
        <v>7222229.7872340428</v>
      </c>
    </row>
    <row r="12" spans="2:5" ht="14.25" thickTop="1" thickBot="1">
      <c r="B12" s="272" t="s">
        <v>73</v>
      </c>
      <c r="C12" s="413">
        <v>57</v>
      </c>
      <c r="D12" s="321">
        <v>506748404</v>
      </c>
      <c r="E12" s="321">
        <f t="shared" si="0"/>
        <v>8890322.8771929815</v>
      </c>
    </row>
    <row r="13" spans="2:5" ht="14.25" thickTop="1" thickBot="1">
      <c r="B13" s="272" t="s">
        <v>74</v>
      </c>
      <c r="C13" s="413">
        <v>84</v>
      </c>
      <c r="D13" s="321">
        <v>978246263</v>
      </c>
      <c r="E13" s="321">
        <f t="shared" si="0"/>
        <v>11645788.845238095</v>
      </c>
    </row>
    <row r="14" spans="2:5" ht="14.25" thickTop="1" thickBot="1">
      <c r="B14" s="272" t="s">
        <v>75</v>
      </c>
      <c r="C14" s="413">
        <v>116</v>
      </c>
      <c r="D14" s="321">
        <v>763150689</v>
      </c>
      <c r="E14" s="321">
        <f t="shared" si="0"/>
        <v>6578885.25</v>
      </c>
    </row>
    <row r="15" spans="2:5" ht="14.25" thickTop="1" thickBot="1">
      <c r="B15" s="272" t="s">
        <v>76</v>
      </c>
      <c r="C15" s="413">
        <v>42</v>
      </c>
      <c r="D15" s="321">
        <v>279264000</v>
      </c>
      <c r="E15" s="321">
        <f t="shared" si="0"/>
        <v>6649142.8571428573</v>
      </c>
    </row>
    <row r="16" spans="2:5" ht="14.25" thickTop="1" thickBot="1">
      <c r="B16" s="274" t="s">
        <v>103</v>
      </c>
      <c r="C16" s="419">
        <f>SUM(C5:C15)</f>
        <v>1201</v>
      </c>
      <c r="D16" s="334">
        <f>SUM(D5:D15)</f>
        <v>13440646608</v>
      </c>
      <c r="E16" s="321">
        <f t="shared" si="0"/>
        <v>11191212.829308908</v>
      </c>
    </row>
    <row r="17" spans="2:5" ht="15" thickTop="1">
      <c r="B17" s="273"/>
      <c r="C17" s="249"/>
      <c r="D17" s="249"/>
      <c r="E17" s="237"/>
    </row>
    <row r="18" spans="2:5">
      <c r="B18" s="574" t="s">
        <v>185</v>
      </c>
      <c r="C18" s="575"/>
      <c r="D18" s="575"/>
      <c r="E18" s="575"/>
    </row>
    <row r="19" spans="2:5">
      <c r="D19" s="181"/>
    </row>
  </sheetData>
  <mergeCells count="3">
    <mergeCell ref="B2:E2"/>
    <mergeCell ref="B3:E3"/>
    <mergeCell ref="B18:E18"/>
  </mergeCells>
  <hyperlinks>
    <hyperlink ref="B3:E3" location="'Capitulo 4'!B38" display="Número y monto de BFV pagados en la Región Chorotega, según cantón. 2018. " xr:uid="{00000000-0004-0000-36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 r:id="rId1"/>
  <headerFooter alignWithMargins="0"/>
  <ignoredErrors>
    <ignoredError sqref="E5:E16" evalError="1"/>
  </ignoredError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B2:E15"/>
  <sheetViews>
    <sheetView showGridLines="0" workbookViewId="0">
      <pane ySplit="4" topLeftCell="A5" activePane="bottomLeft" state="frozen"/>
      <selection pane="bottomLeft" activeCell="B2" sqref="B2:E2"/>
    </sheetView>
  </sheetViews>
  <sheetFormatPr baseColWidth="10" defaultRowHeight="12.75"/>
  <cols>
    <col min="2" max="2" width="32.7109375" customWidth="1"/>
    <col min="3" max="3" width="17.85546875" customWidth="1"/>
    <col min="4" max="4" width="28" customWidth="1"/>
    <col min="5" max="5" width="26.7109375" customWidth="1"/>
  </cols>
  <sheetData>
    <row r="2" spans="2:5" ht="15">
      <c r="B2" s="462" t="s">
        <v>593</v>
      </c>
      <c r="C2" s="462"/>
      <c r="D2" s="462"/>
      <c r="E2" s="462"/>
    </row>
    <row r="3" spans="2:5" ht="24" customHeight="1" thickBot="1">
      <c r="B3" s="482" t="s">
        <v>599</v>
      </c>
      <c r="C3" s="482"/>
      <c r="D3" s="482"/>
      <c r="E3" s="482"/>
    </row>
    <row r="4" spans="2:5" ht="39.75" customHeight="1" thickTop="1" thickBot="1">
      <c r="B4" s="327" t="s">
        <v>15</v>
      </c>
      <c r="C4" s="327" t="s">
        <v>254</v>
      </c>
      <c r="D4" s="327" t="s">
        <v>282</v>
      </c>
      <c r="E4" s="327" t="s">
        <v>337</v>
      </c>
    </row>
    <row r="5" spans="2:5" ht="14.25" thickTop="1" thickBot="1">
      <c r="B5" s="272" t="s">
        <v>46</v>
      </c>
      <c r="C5" s="413">
        <v>39</v>
      </c>
      <c r="D5" s="321">
        <v>274705450</v>
      </c>
      <c r="E5" s="321">
        <f>+D5/C5</f>
        <v>7043729.487179487</v>
      </c>
    </row>
    <row r="6" spans="2:5" ht="14.25" thickTop="1" thickBot="1">
      <c r="B6" s="272" t="s">
        <v>51</v>
      </c>
      <c r="C6" s="413">
        <v>175</v>
      </c>
      <c r="D6" s="321">
        <v>3035403341</v>
      </c>
      <c r="E6" s="321">
        <f t="shared" ref="E6:E13" si="0">+D6/C6</f>
        <v>17345161.948571429</v>
      </c>
    </row>
    <row r="7" spans="2:5" ht="14.25" thickTop="1" thickBot="1">
      <c r="B7" s="272" t="s">
        <v>77</v>
      </c>
      <c r="C7" s="413">
        <v>355</v>
      </c>
      <c r="D7" s="321">
        <v>4079659808</v>
      </c>
      <c r="E7" s="321">
        <f t="shared" si="0"/>
        <v>11491999.45915493</v>
      </c>
    </row>
    <row r="8" spans="2:5" ht="14.25" thickTop="1" thickBot="1">
      <c r="B8" s="272" t="s">
        <v>78</v>
      </c>
      <c r="C8" s="413">
        <v>54</v>
      </c>
      <c r="D8" s="321">
        <v>399041800</v>
      </c>
      <c r="E8" s="321">
        <f t="shared" si="0"/>
        <v>7389662.9629629627</v>
      </c>
    </row>
    <row r="9" spans="2:5" ht="14.25" thickTop="1" thickBot="1">
      <c r="B9" s="272" t="s">
        <v>80</v>
      </c>
      <c r="C9" s="413">
        <v>19</v>
      </c>
      <c r="D9" s="321">
        <v>117155000</v>
      </c>
      <c r="E9" s="321">
        <f t="shared" si="0"/>
        <v>6166052.6315789474</v>
      </c>
    </row>
    <row r="10" spans="2:5" ht="14.25" thickTop="1" thickBot="1">
      <c r="B10" s="272" t="s">
        <v>82</v>
      </c>
      <c r="C10" s="413">
        <v>209</v>
      </c>
      <c r="D10" s="321">
        <v>3630135485</v>
      </c>
      <c r="E10" s="321">
        <f t="shared" si="0"/>
        <v>17369069.306220096</v>
      </c>
    </row>
    <row r="11" spans="2:5" ht="14.25" thickTop="1" thickBot="1">
      <c r="B11" s="272" t="s">
        <v>85</v>
      </c>
      <c r="C11" s="413">
        <v>40</v>
      </c>
      <c r="D11" s="321">
        <v>281188000</v>
      </c>
      <c r="E11" s="321">
        <f t="shared" si="0"/>
        <v>7029700</v>
      </c>
    </row>
    <row r="12" spans="2:5" ht="14.25" thickTop="1" thickBot="1">
      <c r="B12" s="272" t="s">
        <v>87</v>
      </c>
      <c r="C12" s="413">
        <v>77</v>
      </c>
      <c r="D12" s="321">
        <v>1264463948</v>
      </c>
      <c r="E12" s="321">
        <f t="shared" si="0"/>
        <v>16421609.714285715</v>
      </c>
    </row>
    <row r="13" spans="2:5" ht="14.25" thickTop="1" thickBot="1">
      <c r="B13" s="274" t="s">
        <v>103</v>
      </c>
      <c r="C13" s="419">
        <f>SUM(C5:C12)</f>
        <v>968</v>
      </c>
      <c r="D13" s="321">
        <f>SUM(D5:D12)</f>
        <v>13081752832</v>
      </c>
      <c r="E13" s="321">
        <f t="shared" si="0"/>
        <v>13514207.47107438</v>
      </c>
    </row>
    <row r="14" spans="2:5" ht="15" thickTop="1">
      <c r="B14" s="273"/>
      <c r="C14" s="249"/>
      <c r="D14" s="249"/>
      <c r="E14" s="237"/>
    </row>
    <row r="15" spans="2:5">
      <c r="B15" s="574" t="s">
        <v>185</v>
      </c>
      <c r="C15" s="575"/>
      <c r="D15" s="575"/>
      <c r="E15" s="575"/>
    </row>
  </sheetData>
  <mergeCells count="3">
    <mergeCell ref="B2:E2"/>
    <mergeCell ref="B3:E3"/>
    <mergeCell ref="B15:E15"/>
  </mergeCells>
  <hyperlinks>
    <hyperlink ref="B3:E3" location="'Capitulo 4'!B39" display="Número y monto de BFV pagados en la Región Pacífico Central, según cantón. 2018. " xr:uid="{00000000-0004-0000-37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 r:id="rId1"/>
  <headerFooter alignWithMargins="0"/>
  <ignoredErrors>
    <ignoredError sqref="E5:E13" evalError="1"/>
  </ignoredErrors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B2:E13"/>
  <sheetViews>
    <sheetView showGridLines="0" workbookViewId="0">
      <pane ySplit="4" topLeftCell="A5" activePane="bottomLeft" state="frozen"/>
      <selection pane="bottomLeft" activeCell="B2" sqref="B2:E2"/>
    </sheetView>
  </sheetViews>
  <sheetFormatPr baseColWidth="10" defaultRowHeight="12.75"/>
  <cols>
    <col min="2" max="2" width="36.42578125" customWidth="1"/>
    <col min="3" max="3" width="20.7109375" customWidth="1"/>
    <col min="4" max="4" width="27.28515625" customWidth="1"/>
    <col min="5" max="5" width="19.42578125" customWidth="1"/>
  </cols>
  <sheetData>
    <row r="2" spans="2:5" ht="15">
      <c r="B2" s="462" t="s">
        <v>600</v>
      </c>
      <c r="C2" s="462"/>
      <c r="D2" s="462"/>
      <c r="E2" s="462"/>
    </row>
    <row r="3" spans="2:5" ht="24.75" customHeight="1" thickBot="1">
      <c r="B3" s="482" t="s">
        <v>467</v>
      </c>
      <c r="C3" s="482"/>
      <c r="D3" s="482"/>
      <c r="E3" s="482"/>
    </row>
    <row r="4" spans="2:5" ht="51.75" customHeight="1" thickTop="1" thickBot="1">
      <c r="B4" s="327" t="s">
        <v>15</v>
      </c>
      <c r="C4" s="327" t="s">
        <v>254</v>
      </c>
      <c r="D4" s="327" t="s">
        <v>263</v>
      </c>
      <c r="E4" s="327" t="s">
        <v>337</v>
      </c>
    </row>
    <row r="5" spans="2:5" ht="14.25" thickTop="1" thickBot="1">
      <c r="B5" s="272" t="s">
        <v>79</v>
      </c>
      <c r="C5" s="413">
        <v>300</v>
      </c>
      <c r="D5" s="321">
        <v>2216911886</v>
      </c>
      <c r="E5" s="321">
        <f>+D5/C5</f>
        <v>7389706.2866666671</v>
      </c>
    </row>
    <row r="6" spans="2:5" ht="14.25" thickTop="1" thickBot="1">
      <c r="B6" s="272" t="s">
        <v>81</v>
      </c>
      <c r="C6" s="413">
        <v>216</v>
      </c>
      <c r="D6" s="321">
        <v>1583290658</v>
      </c>
      <c r="E6" s="321">
        <f t="shared" ref="E6:E11" si="0">+D6/C6</f>
        <v>7330049.3425925924</v>
      </c>
    </row>
    <row r="7" spans="2:5" ht="14.25" thickTop="1" thickBot="1">
      <c r="B7" s="272" t="s">
        <v>83</v>
      </c>
      <c r="C7" s="413">
        <v>305</v>
      </c>
      <c r="D7" s="321">
        <v>2964493465</v>
      </c>
      <c r="E7" s="321">
        <f t="shared" si="0"/>
        <v>9719650.7049180325</v>
      </c>
    </row>
    <row r="8" spans="2:5" ht="14.25" thickTop="1" thickBot="1">
      <c r="B8" s="272" t="s">
        <v>86</v>
      </c>
      <c r="C8" s="413">
        <v>229</v>
      </c>
      <c r="D8" s="321">
        <v>1659954716</v>
      </c>
      <c r="E8" s="321">
        <f t="shared" si="0"/>
        <v>7248710.5502183409</v>
      </c>
    </row>
    <row r="9" spans="2:5" ht="14.25" thickTop="1" thickBot="1">
      <c r="B9" s="272" t="s">
        <v>84</v>
      </c>
      <c r="C9" s="413">
        <v>439</v>
      </c>
      <c r="D9" s="321">
        <v>3463586355</v>
      </c>
      <c r="E9" s="321">
        <f t="shared" si="0"/>
        <v>7889718.3485193625</v>
      </c>
    </row>
    <row r="10" spans="2:5" ht="14.25" thickTop="1" thickBot="1">
      <c r="B10" s="272" t="s">
        <v>101</v>
      </c>
      <c r="C10" s="413">
        <v>902</v>
      </c>
      <c r="D10" s="321">
        <v>7134296127</v>
      </c>
      <c r="E10" s="321">
        <f t="shared" si="0"/>
        <v>7909419.2095343685</v>
      </c>
    </row>
    <row r="11" spans="2:5" ht="14.25" thickTop="1" thickBot="1">
      <c r="B11" s="274" t="s">
        <v>103</v>
      </c>
      <c r="C11" s="419">
        <f>SUM(C5:C10)</f>
        <v>2391</v>
      </c>
      <c r="D11" s="321">
        <f>SUM(D5:D10)</f>
        <v>19022533207</v>
      </c>
      <c r="E11" s="321">
        <f t="shared" si="0"/>
        <v>7955890.0907570058</v>
      </c>
    </row>
    <row r="12" spans="2:5" ht="15" thickTop="1">
      <c r="B12" s="273"/>
      <c r="C12" s="249"/>
      <c r="D12" s="249"/>
      <c r="E12" s="237"/>
    </row>
    <row r="13" spans="2:5">
      <c r="B13" s="574" t="s">
        <v>185</v>
      </c>
      <c r="C13" s="575"/>
      <c r="D13" s="575"/>
      <c r="E13" s="575"/>
    </row>
  </sheetData>
  <mergeCells count="3">
    <mergeCell ref="B2:E2"/>
    <mergeCell ref="B3:E3"/>
    <mergeCell ref="B13:E13"/>
  </mergeCells>
  <hyperlinks>
    <hyperlink ref="B3:E3" location="'Capitulo 4'!B40" display="Número y monto de BFV pagados en la Región Brunca, según cantón. 2018." xr:uid="{00000000-0004-0000-38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 r:id="rId1"/>
  <headerFooter alignWithMargins="0"/>
  <ignoredErrors>
    <ignoredError sqref="E5:E11" evalError="1"/>
  </ignoredError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B2:E13"/>
  <sheetViews>
    <sheetView showGridLines="0" workbookViewId="0">
      <pane ySplit="4" topLeftCell="A5" activePane="bottomLeft" state="frozen"/>
      <selection pane="bottomLeft" activeCell="B2" sqref="B2:E2"/>
    </sheetView>
  </sheetViews>
  <sheetFormatPr baseColWidth="10" defaultRowHeight="12.75"/>
  <cols>
    <col min="2" max="2" width="25.42578125" customWidth="1"/>
    <col min="3" max="3" width="23.5703125" customWidth="1"/>
    <col min="4" max="4" width="31.85546875" customWidth="1"/>
    <col min="5" max="5" width="21" customWidth="1"/>
  </cols>
  <sheetData>
    <row r="2" spans="2:5" ht="15">
      <c r="B2" s="462" t="s">
        <v>601</v>
      </c>
      <c r="C2" s="462"/>
      <c r="D2" s="462"/>
      <c r="E2" s="462"/>
    </row>
    <row r="3" spans="2:5" ht="36" customHeight="1" thickBot="1">
      <c r="B3" s="482" t="s">
        <v>468</v>
      </c>
      <c r="C3" s="482"/>
      <c r="D3" s="482"/>
      <c r="E3" s="482"/>
    </row>
    <row r="4" spans="2:5" ht="57.75" customHeight="1" thickTop="1" thickBot="1">
      <c r="B4" s="327" t="s">
        <v>15</v>
      </c>
      <c r="C4" s="327" t="s">
        <v>254</v>
      </c>
      <c r="D4" s="327" t="s">
        <v>264</v>
      </c>
      <c r="E4" s="327" t="s">
        <v>337</v>
      </c>
    </row>
    <row r="5" spans="2:5" ht="14.25" thickTop="1" thickBot="1">
      <c r="B5" s="272" t="s">
        <v>88</v>
      </c>
      <c r="C5" s="413">
        <v>361</v>
      </c>
      <c r="D5" s="321">
        <v>3225595108</v>
      </c>
      <c r="E5" s="321">
        <f>+D5/C5</f>
        <v>8935166.5041551255</v>
      </c>
    </row>
    <row r="6" spans="2:5" ht="14.25" thickTop="1" thickBot="1">
      <c r="B6" s="272" t="s">
        <v>89</v>
      </c>
      <c r="C6" s="413">
        <v>782</v>
      </c>
      <c r="D6" s="321">
        <v>5831298729</v>
      </c>
      <c r="E6" s="321">
        <f t="shared" ref="E6:E11" si="0">+D6/C6</f>
        <v>7456903.7455242965</v>
      </c>
    </row>
    <row r="7" spans="2:5" ht="14.25" thickTop="1" thickBot="1">
      <c r="B7" s="272" t="s">
        <v>90</v>
      </c>
      <c r="C7" s="413">
        <v>375</v>
      </c>
      <c r="D7" s="321">
        <v>4598886503</v>
      </c>
      <c r="E7" s="321">
        <f t="shared" si="0"/>
        <v>12263697.341333333</v>
      </c>
    </row>
    <row r="8" spans="2:5" ht="14.25" thickTop="1" thickBot="1">
      <c r="B8" s="272" t="s">
        <v>91</v>
      </c>
      <c r="C8" s="413">
        <v>107</v>
      </c>
      <c r="D8" s="321">
        <v>824617071</v>
      </c>
      <c r="E8" s="321">
        <f t="shared" si="0"/>
        <v>7706701.5981308408</v>
      </c>
    </row>
    <row r="9" spans="2:5" ht="14.25" thickTop="1" thickBot="1">
      <c r="B9" s="272" t="s">
        <v>92</v>
      </c>
      <c r="C9" s="413">
        <v>218</v>
      </c>
      <c r="D9" s="321">
        <v>1769344054</v>
      </c>
      <c r="E9" s="321">
        <f t="shared" si="0"/>
        <v>8116257.1284403671</v>
      </c>
    </row>
    <row r="10" spans="2:5" ht="14.25" thickTop="1" thickBot="1">
      <c r="B10" s="272" t="s">
        <v>93</v>
      </c>
      <c r="C10" s="413">
        <v>361</v>
      </c>
      <c r="D10" s="321">
        <v>2624588073</v>
      </c>
      <c r="E10" s="321">
        <f t="shared" si="0"/>
        <v>7270327.0720221605</v>
      </c>
    </row>
    <row r="11" spans="2:5" ht="14.25" thickTop="1" thickBot="1">
      <c r="B11" s="274" t="s">
        <v>103</v>
      </c>
      <c r="C11" s="419">
        <f>SUM(C5:C10)</f>
        <v>2204</v>
      </c>
      <c r="D11" s="334">
        <f>SUM(D5:D10)</f>
        <v>18874329538</v>
      </c>
      <c r="E11" s="321">
        <f t="shared" si="0"/>
        <v>8563670.3892921954</v>
      </c>
    </row>
    <row r="12" spans="2:5" ht="15" thickTop="1">
      <c r="B12" s="273"/>
      <c r="C12" s="249"/>
      <c r="D12" s="249"/>
      <c r="E12" s="237"/>
    </row>
    <row r="13" spans="2:5">
      <c r="B13" s="574" t="s">
        <v>185</v>
      </c>
      <c r="C13" s="575"/>
      <c r="D13" s="575"/>
      <c r="E13" s="575"/>
    </row>
  </sheetData>
  <mergeCells count="3">
    <mergeCell ref="B2:E2"/>
    <mergeCell ref="B3:E3"/>
    <mergeCell ref="B13:E13"/>
  </mergeCells>
  <hyperlinks>
    <hyperlink ref="B3:E3" location="'Capitulo 4'!B41" display="Número y monto de BFV pagados en la Región Huetar Caribe, según cantón. 2018." xr:uid="{00000000-0004-0000-39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 r:id="rId1"/>
  <headerFooter alignWithMargins="0"/>
  <ignoredErrors>
    <ignoredError sqref="E5:E11" evalError="1"/>
  </ignoredErrors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B2:E19"/>
  <sheetViews>
    <sheetView showGridLines="0" workbookViewId="0">
      <pane ySplit="4" topLeftCell="A5" activePane="bottomLeft" state="frozen"/>
      <selection pane="bottomLeft" activeCell="B2" sqref="B2:E2"/>
    </sheetView>
  </sheetViews>
  <sheetFormatPr baseColWidth="10" defaultRowHeight="12.75"/>
  <cols>
    <col min="2" max="2" width="57.85546875" customWidth="1"/>
    <col min="3" max="3" width="17.28515625" customWidth="1"/>
    <col min="4" max="4" width="27" customWidth="1"/>
    <col min="5" max="5" width="17.85546875" customWidth="1"/>
  </cols>
  <sheetData>
    <row r="2" spans="2:5" ht="15">
      <c r="B2" s="462" t="s">
        <v>602</v>
      </c>
      <c r="C2" s="462"/>
      <c r="D2" s="462"/>
      <c r="E2" s="462"/>
    </row>
    <row r="3" spans="2:5" ht="25.5" customHeight="1" thickBot="1">
      <c r="B3" s="482" t="s">
        <v>698</v>
      </c>
      <c r="C3" s="482"/>
      <c r="D3" s="482"/>
      <c r="E3" s="482"/>
    </row>
    <row r="4" spans="2:5" ht="63.75" customHeight="1" thickTop="1" thickBot="1">
      <c r="B4" s="327" t="s">
        <v>15</v>
      </c>
      <c r="C4" s="327" t="s">
        <v>254</v>
      </c>
      <c r="D4" s="327" t="s">
        <v>265</v>
      </c>
      <c r="E4" s="327" t="s">
        <v>337</v>
      </c>
    </row>
    <row r="5" spans="2:5" ht="14.25" thickTop="1" thickBot="1">
      <c r="B5" s="272" t="s">
        <v>52</v>
      </c>
      <c r="C5" s="413">
        <v>859</v>
      </c>
      <c r="D5" s="321">
        <v>6250658352</v>
      </c>
      <c r="E5" s="321">
        <f>+D5/C5</f>
        <v>7276668.6286379509</v>
      </c>
    </row>
    <row r="6" spans="2:5" ht="14.25" thickTop="1" thickBot="1">
      <c r="B6" s="272" t="s">
        <v>57</v>
      </c>
      <c r="C6" s="413">
        <v>58</v>
      </c>
      <c r="D6" s="321">
        <v>417761036</v>
      </c>
      <c r="E6" s="321">
        <f t="shared" ref="E6:E13" si="0">+D6/C6</f>
        <v>7202776.4827586208</v>
      </c>
    </row>
    <row r="7" spans="2:5" ht="14.25" thickTop="1" thickBot="1">
      <c r="B7" s="272" t="s">
        <v>56</v>
      </c>
      <c r="C7" s="413">
        <v>184</v>
      </c>
      <c r="D7" s="321">
        <v>1758149493</v>
      </c>
      <c r="E7" s="321">
        <f t="shared" si="0"/>
        <v>9555160.2880434785</v>
      </c>
    </row>
    <row r="8" spans="2:5" ht="14.25" thickTop="1" thickBot="1">
      <c r="B8" s="272" t="s">
        <v>55</v>
      </c>
      <c r="C8" s="413">
        <v>442</v>
      </c>
      <c r="D8" s="321">
        <v>3769870173</v>
      </c>
      <c r="E8" s="321">
        <f t="shared" si="0"/>
        <v>8529118.038461538</v>
      </c>
    </row>
    <row r="9" spans="2:5" ht="14.25" thickTop="1" thickBot="1">
      <c r="B9" s="272" t="s">
        <v>266</v>
      </c>
      <c r="C9" s="413">
        <v>7</v>
      </c>
      <c r="D9" s="321">
        <v>45493000</v>
      </c>
      <c r="E9" s="321">
        <f t="shared" si="0"/>
        <v>6499000</v>
      </c>
    </row>
    <row r="10" spans="2:5" ht="14.25" thickTop="1" thickBot="1">
      <c r="B10" s="272" t="s">
        <v>267</v>
      </c>
      <c r="C10" s="413">
        <v>59</v>
      </c>
      <c r="D10" s="321">
        <v>399137471</v>
      </c>
      <c r="E10" s="321">
        <f t="shared" si="0"/>
        <v>6765041.881355932</v>
      </c>
    </row>
    <row r="11" spans="2:5" ht="14.25" thickTop="1" thickBot="1">
      <c r="B11" s="272" t="s">
        <v>268</v>
      </c>
      <c r="C11" s="413">
        <v>56</v>
      </c>
      <c r="D11" s="321">
        <v>368027000</v>
      </c>
      <c r="E11" s="321">
        <f t="shared" si="0"/>
        <v>6571910.7142857146</v>
      </c>
    </row>
    <row r="12" spans="2:5" ht="14.25" thickTop="1" thickBot="1">
      <c r="B12" s="272" t="s">
        <v>269</v>
      </c>
      <c r="C12" s="413">
        <v>444</v>
      </c>
      <c r="D12" s="321">
        <v>4110741194</v>
      </c>
      <c r="E12" s="321">
        <f t="shared" si="0"/>
        <v>9258426.1126126125</v>
      </c>
    </row>
    <row r="13" spans="2:5" ht="14.25" thickTop="1" thickBot="1">
      <c r="B13" s="272" t="s">
        <v>103</v>
      </c>
      <c r="C13" s="413">
        <f>SUM(C5:C12)</f>
        <v>2109</v>
      </c>
      <c r="D13" s="321">
        <f>SUM(D5:D12)</f>
        <v>17119837719</v>
      </c>
      <c r="E13" s="321">
        <f t="shared" si="0"/>
        <v>8117514.32859175</v>
      </c>
    </row>
    <row r="14" spans="2:5" ht="15" thickTop="1">
      <c r="B14" s="357"/>
      <c r="C14" s="358"/>
      <c r="D14" s="359"/>
      <c r="E14" s="237"/>
    </row>
    <row r="15" spans="2:5">
      <c r="B15" s="474" t="s">
        <v>185</v>
      </c>
      <c r="C15" s="474"/>
      <c r="D15" s="474"/>
      <c r="E15" s="474"/>
    </row>
    <row r="16" spans="2:5">
      <c r="D16" s="168"/>
    </row>
    <row r="17" spans="3:4">
      <c r="C17" s="29"/>
    </row>
    <row r="19" spans="3:4">
      <c r="D19" s="169"/>
    </row>
  </sheetData>
  <mergeCells count="3">
    <mergeCell ref="B2:E2"/>
    <mergeCell ref="B3:E3"/>
    <mergeCell ref="B15:E15"/>
  </mergeCells>
  <hyperlinks>
    <hyperlink ref="B3:E3" location="'Capitulo 4'!B42" display="Número y monto de BFV pagados en la Región Huetar Norte, según cantón. 2018.                                                                                                                                    " xr:uid="{00000000-0004-0000-3A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verticalDpi="0" r:id="rId1"/>
  <headerFooter alignWithMargins="0"/>
  <ignoredErrors>
    <ignoredError sqref="E5:E13" evalError="1"/>
  </ignoredErrors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B2:U497"/>
  <sheetViews>
    <sheetView showGridLines="0" workbookViewId="0">
      <pane ySplit="5" topLeftCell="A6" activePane="bottomLeft" state="frozen"/>
      <selection pane="bottomLeft" activeCell="B3" sqref="B3:N3"/>
    </sheetView>
  </sheetViews>
  <sheetFormatPr baseColWidth="10" defaultRowHeight="12.75"/>
  <cols>
    <col min="2" max="2" width="19.42578125" bestFit="1" customWidth="1"/>
    <col min="3" max="3" width="33.42578125" customWidth="1"/>
    <col min="4" max="4" width="8.85546875" bestFit="1" customWidth="1"/>
    <col min="5" max="5" width="8.5703125" bestFit="1" customWidth="1"/>
    <col min="6" max="6" width="8.28515625" bestFit="1" customWidth="1"/>
    <col min="7" max="7" width="8.7109375" bestFit="1" customWidth="1"/>
    <col min="8" max="8" width="8.42578125" bestFit="1" customWidth="1"/>
    <col min="9" max="9" width="9" bestFit="1" customWidth="1"/>
    <col min="10" max="12" width="8" bestFit="1" customWidth="1"/>
    <col min="13" max="13" width="20.28515625" customWidth="1"/>
    <col min="14" max="14" width="27" customWidth="1"/>
  </cols>
  <sheetData>
    <row r="2" spans="2:15" ht="15">
      <c r="B2" s="462" t="s">
        <v>603</v>
      </c>
      <c r="C2" s="462"/>
      <c r="D2" s="462"/>
      <c r="E2" s="462"/>
      <c r="F2" s="462"/>
      <c r="G2" s="462"/>
      <c r="H2" s="462"/>
      <c r="I2" s="462"/>
      <c r="J2" s="462"/>
      <c r="K2" s="462"/>
      <c r="L2" s="462"/>
      <c r="M2" s="462"/>
      <c r="N2" s="462"/>
    </row>
    <row r="3" spans="2:15" ht="25.5" customHeight="1" thickBot="1">
      <c r="B3" s="464" t="s">
        <v>1123</v>
      </c>
      <c r="C3" s="464"/>
      <c r="D3" s="464"/>
      <c r="E3" s="464"/>
      <c r="F3" s="464"/>
      <c r="G3" s="464"/>
      <c r="H3" s="464"/>
      <c r="I3" s="464"/>
      <c r="J3" s="464"/>
      <c r="K3" s="464"/>
      <c r="L3" s="464"/>
      <c r="M3" s="464"/>
      <c r="N3" s="464"/>
    </row>
    <row r="4" spans="2:15" ht="22.5" customHeight="1" thickTop="1" thickBot="1">
      <c r="B4" s="494" t="s">
        <v>714</v>
      </c>
      <c r="C4" s="476" t="s">
        <v>711</v>
      </c>
      <c r="D4" s="460"/>
      <c r="E4" s="460"/>
      <c r="F4" s="460"/>
      <c r="G4" s="460"/>
      <c r="H4" s="460"/>
      <c r="I4" s="460"/>
      <c r="J4" s="460"/>
      <c r="K4" s="460"/>
      <c r="L4" s="461"/>
      <c r="M4" s="476" t="s">
        <v>1124</v>
      </c>
      <c r="N4" s="476" t="s">
        <v>1125</v>
      </c>
    </row>
    <row r="5" spans="2:15" ht="31.5" customHeight="1" thickTop="1" thickBot="1">
      <c r="B5" s="503"/>
      <c r="C5" s="477"/>
      <c r="D5" s="362">
        <v>2010</v>
      </c>
      <c r="E5" s="362">
        <v>2011</v>
      </c>
      <c r="F5" s="362">
        <v>2012</v>
      </c>
      <c r="G5" s="362">
        <v>2013</v>
      </c>
      <c r="H5" s="362">
        <v>2014</v>
      </c>
      <c r="I5" s="362">
        <v>2015</v>
      </c>
      <c r="J5" s="362">
        <v>2016</v>
      </c>
      <c r="K5" s="362">
        <v>2017</v>
      </c>
      <c r="L5" s="362">
        <v>2018</v>
      </c>
      <c r="M5" s="477"/>
      <c r="N5" s="477"/>
    </row>
    <row r="6" spans="2:15" ht="14.25" thickTop="1" thickBot="1">
      <c r="B6" s="250">
        <v>10101</v>
      </c>
      <c r="C6" s="272" t="s">
        <v>715</v>
      </c>
      <c r="D6" s="413">
        <v>1</v>
      </c>
      <c r="E6" s="413" t="s">
        <v>156</v>
      </c>
      <c r="F6" s="413" t="s">
        <v>156</v>
      </c>
      <c r="G6" s="413" t="s">
        <v>156</v>
      </c>
      <c r="H6" s="413">
        <v>1</v>
      </c>
      <c r="I6" s="413" t="s">
        <v>156</v>
      </c>
      <c r="J6" s="413" t="s">
        <v>156</v>
      </c>
      <c r="K6" s="413" t="s">
        <v>156</v>
      </c>
      <c r="L6" s="413" t="s">
        <v>156</v>
      </c>
      <c r="M6" s="413">
        <f t="shared" ref="M6:M69" si="0">SUM(D6:L6)</f>
        <v>2</v>
      </c>
      <c r="N6" s="363">
        <f>+M6/$M$491</f>
        <v>2.0873122723525052E-5</v>
      </c>
    </row>
    <row r="7" spans="2:15" ht="14.25" thickTop="1" thickBot="1">
      <c r="B7" s="250">
        <v>10102</v>
      </c>
      <c r="C7" s="272" t="s">
        <v>716</v>
      </c>
      <c r="D7" s="413" t="s">
        <v>156</v>
      </c>
      <c r="E7" s="413">
        <v>2</v>
      </c>
      <c r="F7" s="413">
        <v>1</v>
      </c>
      <c r="G7" s="413">
        <v>1</v>
      </c>
      <c r="H7" s="413">
        <v>1</v>
      </c>
      <c r="I7" s="413">
        <v>2</v>
      </c>
      <c r="J7" s="413">
        <v>1</v>
      </c>
      <c r="K7" s="413" t="s">
        <v>156</v>
      </c>
      <c r="L7" s="413">
        <v>1</v>
      </c>
      <c r="M7" s="413">
        <f t="shared" si="0"/>
        <v>9</v>
      </c>
      <c r="N7" s="363">
        <f t="shared" ref="N7:N70" si="1">+M7/$M$491</f>
        <v>9.3929052255862738E-5</v>
      </c>
    </row>
    <row r="8" spans="2:15" ht="14.25" thickTop="1" thickBot="1">
      <c r="B8" s="250">
        <v>10103</v>
      </c>
      <c r="C8" s="272" t="s">
        <v>717</v>
      </c>
      <c r="D8" s="413">
        <v>3</v>
      </c>
      <c r="E8" s="413">
        <v>1</v>
      </c>
      <c r="F8" s="413">
        <v>1</v>
      </c>
      <c r="G8" s="413">
        <v>3</v>
      </c>
      <c r="H8" s="413">
        <v>3</v>
      </c>
      <c r="I8" s="413">
        <v>3</v>
      </c>
      <c r="J8" s="413">
        <v>8</v>
      </c>
      <c r="K8" s="413">
        <v>7</v>
      </c>
      <c r="L8" s="413">
        <v>4</v>
      </c>
      <c r="M8" s="413">
        <f t="shared" si="0"/>
        <v>33</v>
      </c>
      <c r="N8" s="363">
        <f t="shared" si="1"/>
        <v>3.4440652493816337E-4</v>
      </c>
    </row>
    <row r="9" spans="2:15" ht="14.25" thickTop="1" thickBot="1">
      <c r="B9" s="250">
        <v>10104</v>
      </c>
      <c r="C9" s="272" t="s">
        <v>718</v>
      </c>
      <c r="D9" s="413">
        <v>1</v>
      </c>
      <c r="E9" s="413" t="s">
        <v>156</v>
      </c>
      <c r="F9" s="413" t="s">
        <v>156</v>
      </c>
      <c r="G9" s="413">
        <v>1</v>
      </c>
      <c r="H9" s="413">
        <v>1</v>
      </c>
      <c r="I9" s="413">
        <v>1</v>
      </c>
      <c r="J9" s="413" t="s">
        <v>156</v>
      </c>
      <c r="K9" s="413">
        <v>1</v>
      </c>
      <c r="L9" s="413" t="s">
        <v>156</v>
      </c>
      <c r="M9" s="413">
        <f t="shared" si="0"/>
        <v>5</v>
      </c>
      <c r="N9" s="363">
        <f t="shared" si="1"/>
        <v>5.2182806808812633E-5</v>
      </c>
    </row>
    <row r="10" spans="2:15" ht="14.25" thickTop="1" thickBot="1">
      <c r="B10" s="250">
        <v>10105</v>
      </c>
      <c r="C10" s="272" t="s">
        <v>719</v>
      </c>
      <c r="D10" s="413">
        <v>3</v>
      </c>
      <c r="E10" s="413">
        <v>1</v>
      </c>
      <c r="F10" s="413">
        <v>1</v>
      </c>
      <c r="G10" s="413">
        <v>2</v>
      </c>
      <c r="H10" s="413">
        <v>4</v>
      </c>
      <c r="I10" s="413">
        <v>2</v>
      </c>
      <c r="J10" s="413">
        <v>4</v>
      </c>
      <c r="K10" s="413">
        <v>1</v>
      </c>
      <c r="L10" s="413" t="s">
        <v>156</v>
      </c>
      <c r="M10" s="413">
        <f t="shared" si="0"/>
        <v>18</v>
      </c>
      <c r="N10" s="363">
        <f t="shared" si="1"/>
        <v>1.8785810451172548E-4</v>
      </c>
    </row>
    <row r="11" spans="2:15" ht="14.25" thickTop="1" thickBot="1">
      <c r="B11" s="250">
        <v>10106</v>
      </c>
      <c r="C11" s="272" t="s">
        <v>720</v>
      </c>
      <c r="D11" s="413" t="s">
        <v>156</v>
      </c>
      <c r="E11" s="413">
        <v>2</v>
      </c>
      <c r="F11" s="413">
        <v>1</v>
      </c>
      <c r="G11" s="413" t="s">
        <v>156</v>
      </c>
      <c r="H11" s="413">
        <v>3</v>
      </c>
      <c r="I11" s="413" t="s">
        <v>156</v>
      </c>
      <c r="J11" s="413">
        <v>1</v>
      </c>
      <c r="K11" s="413">
        <v>1</v>
      </c>
      <c r="L11" s="413">
        <v>2</v>
      </c>
      <c r="M11" s="413">
        <f t="shared" si="0"/>
        <v>10</v>
      </c>
      <c r="N11" s="363">
        <f t="shared" si="1"/>
        <v>1.0436561361762527E-4</v>
      </c>
    </row>
    <row r="12" spans="2:15" ht="14.25" thickTop="1" thickBot="1">
      <c r="B12" s="250">
        <v>10107</v>
      </c>
      <c r="C12" s="272" t="s">
        <v>721</v>
      </c>
      <c r="D12" s="413">
        <v>3</v>
      </c>
      <c r="E12" s="413">
        <v>4</v>
      </c>
      <c r="F12" s="413">
        <v>6</v>
      </c>
      <c r="G12" s="413">
        <v>6</v>
      </c>
      <c r="H12" s="413">
        <v>10</v>
      </c>
      <c r="I12" s="413">
        <v>2</v>
      </c>
      <c r="J12" s="413">
        <v>1</v>
      </c>
      <c r="K12" s="413">
        <v>4</v>
      </c>
      <c r="L12" s="413">
        <v>2</v>
      </c>
      <c r="M12" s="413">
        <f t="shared" si="0"/>
        <v>38</v>
      </c>
      <c r="N12" s="363">
        <f t="shared" si="1"/>
        <v>3.9658933174697601E-4</v>
      </c>
    </row>
    <row r="13" spans="2:15" ht="14.25" thickTop="1" thickBot="1">
      <c r="B13" s="250">
        <v>10108</v>
      </c>
      <c r="C13" s="272" t="s">
        <v>722</v>
      </c>
      <c r="D13" s="413">
        <v>1</v>
      </c>
      <c r="E13" s="413">
        <v>1</v>
      </c>
      <c r="F13" s="413" t="s">
        <v>156</v>
      </c>
      <c r="G13" s="413" t="s">
        <v>156</v>
      </c>
      <c r="H13" s="413" t="s">
        <v>156</v>
      </c>
      <c r="I13" s="413" t="s">
        <v>156</v>
      </c>
      <c r="J13" s="413" t="s">
        <v>156</v>
      </c>
      <c r="K13" s="413" t="s">
        <v>156</v>
      </c>
      <c r="L13" s="413" t="s">
        <v>156</v>
      </c>
      <c r="M13" s="413">
        <f t="shared" si="0"/>
        <v>2</v>
      </c>
      <c r="N13" s="363">
        <f t="shared" si="1"/>
        <v>2.0873122723525052E-5</v>
      </c>
    </row>
    <row r="14" spans="2:15" ht="14.25" thickTop="1" thickBot="1">
      <c r="B14" s="250">
        <v>10109</v>
      </c>
      <c r="C14" s="272" t="s">
        <v>723</v>
      </c>
      <c r="D14" s="413">
        <v>17</v>
      </c>
      <c r="E14" s="413">
        <v>80</v>
      </c>
      <c r="F14" s="413">
        <v>11</v>
      </c>
      <c r="G14" s="413">
        <v>44</v>
      </c>
      <c r="H14" s="413">
        <v>18</v>
      </c>
      <c r="I14" s="413">
        <v>12</v>
      </c>
      <c r="J14" s="413">
        <v>25</v>
      </c>
      <c r="K14" s="413">
        <v>19</v>
      </c>
      <c r="L14" s="413">
        <v>21</v>
      </c>
      <c r="M14" s="413">
        <f t="shared" si="0"/>
        <v>247</v>
      </c>
      <c r="N14" s="363">
        <f t="shared" si="1"/>
        <v>2.5778306563553439E-3</v>
      </c>
    </row>
    <row r="15" spans="2:15" ht="14.25" thickTop="1" thickBot="1">
      <c r="B15" s="250">
        <v>10110</v>
      </c>
      <c r="C15" s="272" t="s">
        <v>724</v>
      </c>
      <c r="D15" s="413">
        <v>33</v>
      </c>
      <c r="E15" s="413">
        <v>46</v>
      </c>
      <c r="F15" s="413">
        <v>134</v>
      </c>
      <c r="G15" s="413">
        <v>65</v>
      </c>
      <c r="H15" s="413">
        <v>52</v>
      </c>
      <c r="I15" s="413">
        <v>64</v>
      </c>
      <c r="J15" s="413">
        <v>52</v>
      </c>
      <c r="K15" s="413">
        <v>72</v>
      </c>
      <c r="L15" s="413">
        <v>73</v>
      </c>
      <c r="M15" s="413">
        <f t="shared" si="0"/>
        <v>591</v>
      </c>
      <c r="N15" s="363">
        <f t="shared" si="1"/>
        <v>6.1680077648016531E-3</v>
      </c>
    </row>
    <row r="16" spans="2:15" ht="14.25" thickTop="1" thickBot="1">
      <c r="B16" s="250">
        <v>10111</v>
      </c>
      <c r="C16" s="272" t="s">
        <v>725</v>
      </c>
      <c r="D16" s="413">
        <v>12</v>
      </c>
      <c r="E16" s="413">
        <v>11</v>
      </c>
      <c r="F16" s="413">
        <v>11</v>
      </c>
      <c r="G16" s="413">
        <v>12</v>
      </c>
      <c r="H16" s="413">
        <v>19</v>
      </c>
      <c r="I16" s="413">
        <v>19</v>
      </c>
      <c r="J16" s="413">
        <v>17</v>
      </c>
      <c r="K16" s="413">
        <v>16</v>
      </c>
      <c r="L16" s="413">
        <v>15</v>
      </c>
      <c r="M16" s="413">
        <f t="shared" si="0"/>
        <v>132</v>
      </c>
      <c r="N16" s="363">
        <f t="shared" si="1"/>
        <v>1.3776260997526535E-3</v>
      </c>
      <c r="O16" s="181"/>
    </row>
    <row r="17" spans="2:21" ht="14.25" thickTop="1" thickBot="1">
      <c r="B17" s="250">
        <v>10201</v>
      </c>
      <c r="C17" s="272" t="s">
        <v>17</v>
      </c>
      <c r="D17" s="413" t="s">
        <v>156</v>
      </c>
      <c r="E17" s="413">
        <v>1</v>
      </c>
      <c r="F17" s="413">
        <v>2</v>
      </c>
      <c r="G17" s="413">
        <v>1</v>
      </c>
      <c r="H17" s="413">
        <v>1</v>
      </c>
      <c r="I17" s="413" t="s">
        <v>156</v>
      </c>
      <c r="J17" s="413" t="s">
        <v>156</v>
      </c>
      <c r="K17" s="413">
        <v>1</v>
      </c>
      <c r="L17" s="413" t="s">
        <v>156</v>
      </c>
      <c r="M17" s="413">
        <f t="shared" si="0"/>
        <v>6</v>
      </c>
      <c r="N17" s="363">
        <f t="shared" si="1"/>
        <v>6.2619368170575154E-5</v>
      </c>
    </row>
    <row r="18" spans="2:21" ht="14.25" thickTop="1" thickBot="1">
      <c r="B18" s="250">
        <v>10202</v>
      </c>
      <c r="C18" s="272" t="s">
        <v>726</v>
      </c>
      <c r="D18" s="413">
        <v>1</v>
      </c>
      <c r="E18" s="413">
        <v>3</v>
      </c>
      <c r="F18" s="413">
        <v>2</v>
      </c>
      <c r="G18" s="413">
        <v>3</v>
      </c>
      <c r="H18" s="413">
        <v>2</v>
      </c>
      <c r="I18" s="413">
        <v>30</v>
      </c>
      <c r="J18" s="413">
        <v>19</v>
      </c>
      <c r="K18" s="413" t="s">
        <v>156</v>
      </c>
      <c r="L18" s="413">
        <v>5</v>
      </c>
      <c r="M18" s="413">
        <f t="shared" si="0"/>
        <v>65</v>
      </c>
      <c r="N18" s="363">
        <f t="shared" si="1"/>
        <v>6.7837648851456426E-4</v>
      </c>
    </row>
    <row r="19" spans="2:21" ht="14.25" thickTop="1" thickBot="1">
      <c r="B19" s="250">
        <v>10203</v>
      </c>
      <c r="C19" s="272" t="s">
        <v>18</v>
      </c>
      <c r="D19" s="413">
        <v>1</v>
      </c>
      <c r="E19" s="413">
        <v>2</v>
      </c>
      <c r="F19" s="413" t="s">
        <v>156</v>
      </c>
      <c r="G19" s="413" t="s">
        <v>156</v>
      </c>
      <c r="H19" s="413">
        <v>2</v>
      </c>
      <c r="I19" s="413" t="s">
        <v>156</v>
      </c>
      <c r="J19" s="413" t="s">
        <v>156</v>
      </c>
      <c r="K19" s="413" t="s">
        <v>156</v>
      </c>
      <c r="L19" s="413" t="s">
        <v>156</v>
      </c>
      <c r="M19" s="413">
        <f t="shared" si="0"/>
        <v>5</v>
      </c>
      <c r="N19" s="363">
        <f t="shared" si="1"/>
        <v>5.2182806808812633E-5</v>
      </c>
    </row>
    <row r="20" spans="2:21" ht="14.25" thickTop="1" thickBot="1">
      <c r="B20" s="250">
        <v>10301</v>
      </c>
      <c r="C20" s="272" t="s">
        <v>19</v>
      </c>
      <c r="D20" s="413">
        <v>19</v>
      </c>
      <c r="E20" s="413">
        <v>19</v>
      </c>
      <c r="F20" s="413">
        <v>14</v>
      </c>
      <c r="G20" s="413">
        <v>14</v>
      </c>
      <c r="H20" s="413">
        <v>10</v>
      </c>
      <c r="I20" s="413">
        <v>14</v>
      </c>
      <c r="J20" s="413">
        <v>12</v>
      </c>
      <c r="K20" s="413">
        <v>17</v>
      </c>
      <c r="L20" s="413">
        <v>21</v>
      </c>
      <c r="M20" s="413">
        <f t="shared" si="0"/>
        <v>140</v>
      </c>
      <c r="N20" s="363">
        <f t="shared" si="1"/>
        <v>1.4611185906467537E-3</v>
      </c>
    </row>
    <row r="21" spans="2:21" ht="14.25" thickTop="1" thickBot="1">
      <c r="B21" s="250">
        <v>10302</v>
      </c>
      <c r="C21" s="272" t="s">
        <v>727</v>
      </c>
      <c r="D21" s="413">
        <v>19</v>
      </c>
      <c r="E21" s="413">
        <v>16</v>
      </c>
      <c r="F21" s="413">
        <v>11</v>
      </c>
      <c r="G21" s="413">
        <v>10</v>
      </c>
      <c r="H21" s="413">
        <v>14</v>
      </c>
      <c r="I21" s="413">
        <v>8</v>
      </c>
      <c r="J21" s="413">
        <v>8</v>
      </c>
      <c r="K21" s="413">
        <v>12</v>
      </c>
      <c r="L21" s="413">
        <v>19</v>
      </c>
      <c r="M21" s="413">
        <f t="shared" si="0"/>
        <v>117</v>
      </c>
      <c r="N21" s="363">
        <f t="shared" si="1"/>
        <v>1.2210776793262156E-3</v>
      </c>
    </row>
    <row r="22" spans="2:21" ht="14.25" thickTop="1" thickBot="1">
      <c r="B22" s="250">
        <v>10303</v>
      </c>
      <c r="C22" s="272" t="s">
        <v>728</v>
      </c>
      <c r="D22" s="413">
        <v>6</v>
      </c>
      <c r="E22" s="413">
        <v>2</v>
      </c>
      <c r="F22" s="413">
        <v>7</v>
      </c>
      <c r="G22" s="413">
        <v>5</v>
      </c>
      <c r="H22" s="413">
        <v>7</v>
      </c>
      <c r="I22" s="413">
        <v>8</v>
      </c>
      <c r="J22" s="413">
        <v>6</v>
      </c>
      <c r="K22" s="413">
        <v>5</v>
      </c>
      <c r="L22" s="413">
        <v>4</v>
      </c>
      <c r="M22" s="413">
        <f t="shared" si="0"/>
        <v>50</v>
      </c>
      <c r="N22" s="363">
        <f t="shared" si="1"/>
        <v>5.2182806808812629E-4</v>
      </c>
    </row>
    <row r="23" spans="2:21" ht="14.25" thickTop="1" thickBot="1">
      <c r="B23" s="250">
        <v>10304</v>
      </c>
      <c r="C23" s="272" t="s">
        <v>729</v>
      </c>
      <c r="D23" s="413">
        <v>6</v>
      </c>
      <c r="E23" s="413">
        <v>4</v>
      </c>
      <c r="F23" s="413">
        <v>6</v>
      </c>
      <c r="G23" s="413">
        <v>5</v>
      </c>
      <c r="H23" s="413">
        <v>8</v>
      </c>
      <c r="I23" s="413" t="s">
        <v>156</v>
      </c>
      <c r="J23" s="413">
        <v>5</v>
      </c>
      <c r="K23" s="413">
        <v>2</v>
      </c>
      <c r="L23" s="413">
        <v>1</v>
      </c>
      <c r="M23" s="413">
        <f t="shared" si="0"/>
        <v>37</v>
      </c>
      <c r="N23" s="363">
        <f t="shared" si="1"/>
        <v>3.8615277038521348E-4</v>
      </c>
    </row>
    <row r="24" spans="2:21" ht="14.25" thickTop="1" thickBot="1">
      <c r="B24" s="250">
        <v>10305</v>
      </c>
      <c r="C24" s="272" t="s">
        <v>726</v>
      </c>
      <c r="D24" s="413">
        <v>1</v>
      </c>
      <c r="E24" s="413">
        <v>2</v>
      </c>
      <c r="F24" s="413" t="s">
        <v>156</v>
      </c>
      <c r="G24" s="413">
        <v>1</v>
      </c>
      <c r="H24" s="413">
        <v>2</v>
      </c>
      <c r="I24" s="413">
        <v>2</v>
      </c>
      <c r="J24" s="413">
        <v>1</v>
      </c>
      <c r="K24" s="413">
        <v>2</v>
      </c>
      <c r="L24" s="413">
        <v>2</v>
      </c>
      <c r="M24" s="413">
        <f t="shared" si="0"/>
        <v>13</v>
      </c>
      <c r="N24" s="363">
        <f t="shared" si="1"/>
        <v>1.3567529770291284E-4</v>
      </c>
    </row>
    <row r="25" spans="2:21" ht="14.25" thickTop="1" thickBot="1">
      <c r="B25" s="250">
        <v>10306</v>
      </c>
      <c r="C25" s="272" t="s">
        <v>730</v>
      </c>
      <c r="D25" s="413">
        <v>9</v>
      </c>
      <c r="E25" s="413">
        <v>5</v>
      </c>
      <c r="F25" s="413">
        <v>7</v>
      </c>
      <c r="G25" s="413">
        <v>6</v>
      </c>
      <c r="H25" s="413">
        <v>13</v>
      </c>
      <c r="I25" s="413">
        <v>13</v>
      </c>
      <c r="J25" s="413">
        <v>8</v>
      </c>
      <c r="K25" s="413">
        <v>13</v>
      </c>
      <c r="L25" s="413">
        <v>9</v>
      </c>
      <c r="M25" s="413">
        <f t="shared" si="0"/>
        <v>83</v>
      </c>
      <c r="N25" s="363">
        <f t="shared" si="1"/>
        <v>8.6623459302628966E-4</v>
      </c>
    </row>
    <row r="26" spans="2:21" ht="14.25" thickTop="1" thickBot="1">
      <c r="B26" s="250">
        <v>10307</v>
      </c>
      <c r="C26" s="272" t="s">
        <v>731</v>
      </c>
      <c r="D26" s="413">
        <v>19</v>
      </c>
      <c r="E26" s="413">
        <v>98</v>
      </c>
      <c r="F26" s="413">
        <v>37</v>
      </c>
      <c r="G26" s="413">
        <v>12</v>
      </c>
      <c r="H26" s="413">
        <v>36</v>
      </c>
      <c r="I26" s="413">
        <v>16</v>
      </c>
      <c r="J26" s="413">
        <v>20</v>
      </c>
      <c r="K26" s="413">
        <v>10</v>
      </c>
      <c r="L26" s="413">
        <v>12</v>
      </c>
      <c r="M26" s="413">
        <f t="shared" si="0"/>
        <v>260</v>
      </c>
      <c r="N26" s="363">
        <f t="shared" si="1"/>
        <v>2.713505954058257E-3</v>
      </c>
    </row>
    <row r="27" spans="2:21" ht="14.25" thickTop="1" thickBot="1">
      <c r="B27" s="250">
        <v>10308</v>
      </c>
      <c r="C27" s="272" t="s">
        <v>732</v>
      </c>
      <c r="D27" s="413">
        <v>6</v>
      </c>
      <c r="E27" s="413">
        <v>8</v>
      </c>
      <c r="F27" s="413">
        <v>13</v>
      </c>
      <c r="G27" s="413">
        <v>9</v>
      </c>
      <c r="H27" s="413">
        <v>16</v>
      </c>
      <c r="I27" s="413">
        <v>9</v>
      </c>
      <c r="J27" s="413">
        <v>18</v>
      </c>
      <c r="K27" s="413">
        <v>15</v>
      </c>
      <c r="L27" s="413">
        <v>11</v>
      </c>
      <c r="M27" s="413">
        <f t="shared" si="0"/>
        <v>105</v>
      </c>
      <c r="N27" s="363">
        <f t="shared" si="1"/>
        <v>1.0958389429850653E-3</v>
      </c>
    </row>
    <row r="28" spans="2:21" ht="14.25" thickTop="1" thickBot="1">
      <c r="B28" s="250">
        <v>10309</v>
      </c>
      <c r="C28" s="272" t="s">
        <v>733</v>
      </c>
      <c r="D28" s="413">
        <v>12</v>
      </c>
      <c r="E28" s="413">
        <v>14</v>
      </c>
      <c r="F28" s="413">
        <v>11</v>
      </c>
      <c r="G28" s="413">
        <v>9</v>
      </c>
      <c r="H28" s="413">
        <v>15</v>
      </c>
      <c r="I28" s="413">
        <v>4</v>
      </c>
      <c r="J28" s="413">
        <v>5</v>
      </c>
      <c r="K28" s="413">
        <v>10</v>
      </c>
      <c r="L28" s="413">
        <v>5</v>
      </c>
      <c r="M28" s="413">
        <f t="shared" si="0"/>
        <v>85</v>
      </c>
      <c r="N28" s="363">
        <f t="shared" si="1"/>
        <v>8.8710771574981471E-4</v>
      </c>
      <c r="P28" s="181"/>
      <c r="Q28" s="181"/>
      <c r="R28" s="181"/>
      <c r="S28" s="181"/>
      <c r="T28" s="181"/>
      <c r="U28" s="181"/>
    </row>
    <row r="29" spans="2:21" ht="14.25" thickTop="1" thickBot="1">
      <c r="B29" s="250">
        <v>10310</v>
      </c>
      <c r="C29" s="272" t="s">
        <v>734</v>
      </c>
      <c r="D29" s="413">
        <v>4</v>
      </c>
      <c r="E29" s="413">
        <v>3</v>
      </c>
      <c r="F29" s="413" t="s">
        <v>156</v>
      </c>
      <c r="G29" s="413">
        <v>3</v>
      </c>
      <c r="H29" s="413">
        <v>3</v>
      </c>
      <c r="I29" s="413">
        <v>3</v>
      </c>
      <c r="J29" s="413">
        <v>5</v>
      </c>
      <c r="K29" s="413">
        <v>2</v>
      </c>
      <c r="L29" s="413">
        <v>5</v>
      </c>
      <c r="M29" s="413">
        <f t="shared" si="0"/>
        <v>28</v>
      </c>
      <c r="N29" s="363">
        <f t="shared" si="1"/>
        <v>2.9222371812935073E-4</v>
      </c>
    </row>
    <row r="30" spans="2:21" ht="14.25" thickTop="1" thickBot="1">
      <c r="B30" s="250">
        <v>10311</v>
      </c>
      <c r="C30" s="272" t="s">
        <v>735</v>
      </c>
      <c r="D30" s="413">
        <v>6</v>
      </c>
      <c r="E30" s="413">
        <v>10</v>
      </c>
      <c r="F30" s="413">
        <v>4</v>
      </c>
      <c r="G30" s="413">
        <v>2</v>
      </c>
      <c r="H30" s="413">
        <v>9</v>
      </c>
      <c r="I30" s="413">
        <v>8</v>
      </c>
      <c r="J30" s="413">
        <v>11</v>
      </c>
      <c r="K30" s="413">
        <v>18</v>
      </c>
      <c r="L30" s="413">
        <v>23</v>
      </c>
      <c r="M30" s="413">
        <f t="shared" si="0"/>
        <v>91</v>
      </c>
      <c r="N30" s="363">
        <f t="shared" si="1"/>
        <v>9.4972708392038988E-4</v>
      </c>
    </row>
    <row r="31" spans="2:21" ht="14.25" thickTop="1" thickBot="1">
      <c r="B31" s="250">
        <v>10312</v>
      </c>
      <c r="C31" s="272" t="s">
        <v>736</v>
      </c>
      <c r="D31" s="413">
        <v>1</v>
      </c>
      <c r="E31" s="413">
        <v>2</v>
      </c>
      <c r="F31" s="413" t="s">
        <v>156</v>
      </c>
      <c r="G31" s="413">
        <v>1</v>
      </c>
      <c r="H31" s="413">
        <v>1</v>
      </c>
      <c r="I31" s="413">
        <v>2</v>
      </c>
      <c r="J31" s="413" t="s">
        <v>156</v>
      </c>
      <c r="K31" s="413">
        <v>1</v>
      </c>
      <c r="L31" s="413">
        <v>2</v>
      </c>
      <c r="M31" s="413">
        <f t="shared" si="0"/>
        <v>10</v>
      </c>
      <c r="N31" s="363">
        <f t="shared" si="1"/>
        <v>1.0436561361762527E-4</v>
      </c>
    </row>
    <row r="32" spans="2:21" ht="14.25" thickTop="1" thickBot="1">
      <c r="B32" s="250">
        <v>10313</v>
      </c>
      <c r="C32" s="272" t="s">
        <v>737</v>
      </c>
      <c r="D32" s="413">
        <v>54</v>
      </c>
      <c r="E32" s="413">
        <v>54</v>
      </c>
      <c r="F32" s="413">
        <v>89</v>
      </c>
      <c r="G32" s="413">
        <v>19</v>
      </c>
      <c r="H32" s="413">
        <v>13</v>
      </c>
      <c r="I32" s="413">
        <v>18</v>
      </c>
      <c r="J32" s="413">
        <v>14</v>
      </c>
      <c r="K32" s="413">
        <v>55</v>
      </c>
      <c r="L32" s="413">
        <v>156</v>
      </c>
      <c r="M32" s="413">
        <f t="shared" si="0"/>
        <v>472</v>
      </c>
      <c r="N32" s="363">
        <f t="shared" si="1"/>
        <v>4.9260569627519128E-3</v>
      </c>
    </row>
    <row r="33" spans="2:14" ht="14.25" thickTop="1" thickBot="1">
      <c r="B33" s="250">
        <v>10401</v>
      </c>
      <c r="C33" s="272" t="s">
        <v>738</v>
      </c>
      <c r="D33" s="413">
        <v>27</v>
      </c>
      <c r="E33" s="413">
        <v>41</v>
      </c>
      <c r="F33" s="413">
        <v>24</v>
      </c>
      <c r="G33" s="413">
        <v>21</v>
      </c>
      <c r="H33" s="413">
        <v>30</v>
      </c>
      <c r="I33" s="413">
        <v>22</v>
      </c>
      <c r="J33" s="413">
        <v>17</v>
      </c>
      <c r="K33" s="413">
        <v>18</v>
      </c>
      <c r="L33" s="413">
        <v>13</v>
      </c>
      <c r="M33" s="413">
        <f t="shared" si="0"/>
        <v>213</v>
      </c>
      <c r="N33" s="363">
        <f t="shared" si="1"/>
        <v>2.2229875700554183E-3</v>
      </c>
    </row>
    <row r="34" spans="2:14" ht="14.25" thickTop="1" thickBot="1">
      <c r="B34" s="250">
        <v>10402</v>
      </c>
      <c r="C34" s="272" t="s">
        <v>739</v>
      </c>
      <c r="D34" s="413">
        <v>28</v>
      </c>
      <c r="E34" s="413">
        <v>44</v>
      </c>
      <c r="F34" s="413">
        <v>25</v>
      </c>
      <c r="G34" s="413">
        <v>27</v>
      </c>
      <c r="H34" s="413">
        <v>37</v>
      </c>
      <c r="I34" s="413">
        <v>27</v>
      </c>
      <c r="J34" s="413">
        <v>32</v>
      </c>
      <c r="K34" s="413">
        <v>21</v>
      </c>
      <c r="L34" s="413">
        <v>12</v>
      </c>
      <c r="M34" s="413">
        <f t="shared" si="0"/>
        <v>253</v>
      </c>
      <c r="N34" s="363">
        <f t="shared" si="1"/>
        <v>2.6404500245259194E-3</v>
      </c>
    </row>
    <row r="35" spans="2:14" ht="14.25" thickTop="1" thickBot="1">
      <c r="B35" s="250">
        <v>10403</v>
      </c>
      <c r="C35" s="272" t="s">
        <v>740</v>
      </c>
      <c r="D35" s="413">
        <v>22</v>
      </c>
      <c r="E35" s="413">
        <v>27</v>
      </c>
      <c r="F35" s="413">
        <v>14</v>
      </c>
      <c r="G35" s="413">
        <v>21</v>
      </c>
      <c r="H35" s="413">
        <v>17</v>
      </c>
      <c r="I35" s="413">
        <v>14</v>
      </c>
      <c r="J35" s="413">
        <v>17</v>
      </c>
      <c r="K35" s="413">
        <v>12</v>
      </c>
      <c r="L35" s="413">
        <v>18</v>
      </c>
      <c r="M35" s="413">
        <f t="shared" si="0"/>
        <v>162</v>
      </c>
      <c r="N35" s="363">
        <f t="shared" si="1"/>
        <v>1.6907229406055292E-3</v>
      </c>
    </row>
    <row r="36" spans="2:14" ht="14.25" thickTop="1" thickBot="1">
      <c r="B36" s="250">
        <v>10404</v>
      </c>
      <c r="C36" s="272" t="s">
        <v>741</v>
      </c>
      <c r="D36" s="413">
        <v>11</v>
      </c>
      <c r="E36" s="413">
        <v>10</v>
      </c>
      <c r="F36" s="413">
        <v>5</v>
      </c>
      <c r="G36" s="413">
        <v>8</v>
      </c>
      <c r="H36" s="413">
        <v>8</v>
      </c>
      <c r="I36" s="413">
        <v>6</v>
      </c>
      <c r="J36" s="413">
        <v>4</v>
      </c>
      <c r="K36" s="413">
        <v>4</v>
      </c>
      <c r="L36" s="413">
        <v>6</v>
      </c>
      <c r="M36" s="413">
        <f t="shared" si="0"/>
        <v>62</v>
      </c>
      <c r="N36" s="363">
        <f t="shared" si="1"/>
        <v>6.4706680442927662E-4</v>
      </c>
    </row>
    <row r="37" spans="2:14" ht="14.25" thickTop="1" thickBot="1">
      <c r="B37" s="250">
        <v>10405</v>
      </c>
      <c r="C37" s="272" t="s">
        <v>18</v>
      </c>
      <c r="D37" s="413">
        <v>10</v>
      </c>
      <c r="E37" s="413">
        <v>10</v>
      </c>
      <c r="F37" s="413">
        <v>6</v>
      </c>
      <c r="G37" s="413">
        <v>10</v>
      </c>
      <c r="H37" s="413">
        <v>7</v>
      </c>
      <c r="I37" s="413">
        <v>9</v>
      </c>
      <c r="J37" s="413">
        <v>11</v>
      </c>
      <c r="K37" s="413">
        <v>8</v>
      </c>
      <c r="L37" s="413">
        <v>16</v>
      </c>
      <c r="M37" s="413">
        <f t="shared" si="0"/>
        <v>87</v>
      </c>
      <c r="N37" s="363">
        <f t="shared" si="1"/>
        <v>9.0798083847333977E-4</v>
      </c>
    </row>
    <row r="38" spans="2:14" ht="14.25" thickTop="1" thickBot="1">
      <c r="B38" s="250">
        <v>10406</v>
      </c>
      <c r="C38" s="272" t="s">
        <v>742</v>
      </c>
      <c r="D38" s="413">
        <v>8</v>
      </c>
      <c r="E38" s="413">
        <v>10</v>
      </c>
      <c r="F38" s="413">
        <v>6</v>
      </c>
      <c r="G38" s="413">
        <v>1</v>
      </c>
      <c r="H38" s="413">
        <v>4</v>
      </c>
      <c r="I38" s="413">
        <v>2</v>
      </c>
      <c r="J38" s="413">
        <v>6</v>
      </c>
      <c r="K38" s="413">
        <v>5</v>
      </c>
      <c r="L38" s="413">
        <v>4</v>
      </c>
      <c r="M38" s="413">
        <f t="shared" si="0"/>
        <v>46</v>
      </c>
      <c r="N38" s="363">
        <f t="shared" si="1"/>
        <v>4.8008182264107623E-4</v>
      </c>
    </row>
    <row r="39" spans="2:14" ht="14.25" thickTop="1" thickBot="1">
      <c r="B39" s="250">
        <v>10407</v>
      </c>
      <c r="C39" s="272" t="s">
        <v>743</v>
      </c>
      <c r="D39" s="413">
        <v>2</v>
      </c>
      <c r="E39" s="413">
        <v>8</v>
      </c>
      <c r="F39" s="413">
        <v>2</v>
      </c>
      <c r="G39" s="413">
        <v>5</v>
      </c>
      <c r="H39" s="413">
        <v>2</v>
      </c>
      <c r="I39" s="413">
        <v>4</v>
      </c>
      <c r="J39" s="413">
        <v>1</v>
      </c>
      <c r="K39" s="413">
        <v>2</v>
      </c>
      <c r="L39" s="413">
        <v>3</v>
      </c>
      <c r="M39" s="413">
        <f t="shared" si="0"/>
        <v>29</v>
      </c>
      <c r="N39" s="363">
        <f t="shared" si="1"/>
        <v>3.0266027949111326E-4</v>
      </c>
    </row>
    <row r="40" spans="2:14" ht="14.25" thickTop="1" thickBot="1">
      <c r="B40" s="250">
        <v>10408</v>
      </c>
      <c r="C40" s="272" t="s">
        <v>726</v>
      </c>
      <c r="D40" s="413">
        <v>13</v>
      </c>
      <c r="E40" s="413">
        <v>12</v>
      </c>
      <c r="F40" s="413">
        <v>19</v>
      </c>
      <c r="G40" s="413">
        <v>10</v>
      </c>
      <c r="H40" s="413">
        <v>14</v>
      </c>
      <c r="I40" s="413">
        <v>15</v>
      </c>
      <c r="J40" s="413">
        <v>14</v>
      </c>
      <c r="K40" s="413">
        <v>8</v>
      </c>
      <c r="L40" s="413">
        <v>8</v>
      </c>
      <c r="M40" s="413">
        <f t="shared" si="0"/>
        <v>113</v>
      </c>
      <c r="N40" s="363">
        <f t="shared" si="1"/>
        <v>1.1793314338791655E-3</v>
      </c>
    </row>
    <row r="41" spans="2:14" ht="14.25" thickTop="1" thickBot="1">
      <c r="B41" s="250">
        <v>10409</v>
      </c>
      <c r="C41" s="272" t="s">
        <v>744</v>
      </c>
      <c r="D41" s="413">
        <v>14</v>
      </c>
      <c r="E41" s="413">
        <v>17</v>
      </c>
      <c r="F41" s="413">
        <v>14</v>
      </c>
      <c r="G41" s="413">
        <v>17</v>
      </c>
      <c r="H41" s="413">
        <v>10</v>
      </c>
      <c r="I41" s="413">
        <v>25</v>
      </c>
      <c r="J41" s="413">
        <v>13</v>
      </c>
      <c r="K41" s="413">
        <v>12</v>
      </c>
      <c r="L41" s="413">
        <v>12</v>
      </c>
      <c r="M41" s="413">
        <f t="shared" si="0"/>
        <v>134</v>
      </c>
      <c r="N41" s="363">
        <f t="shared" si="1"/>
        <v>1.3984992224761786E-3</v>
      </c>
    </row>
    <row r="42" spans="2:14" ht="14.25" thickTop="1" thickBot="1">
      <c r="B42" s="250">
        <v>10501</v>
      </c>
      <c r="C42" s="272" t="s">
        <v>745</v>
      </c>
      <c r="D42" s="413">
        <v>22</v>
      </c>
      <c r="E42" s="413">
        <v>21</v>
      </c>
      <c r="F42" s="413">
        <v>19</v>
      </c>
      <c r="G42" s="413">
        <v>26</v>
      </c>
      <c r="H42" s="413">
        <v>34</v>
      </c>
      <c r="I42" s="413">
        <v>34</v>
      </c>
      <c r="J42" s="413">
        <v>37</v>
      </c>
      <c r="K42" s="413">
        <v>32</v>
      </c>
      <c r="L42" s="413">
        <v>24</v>
      </c>
      <c r="M42" s="413">
        <f t="shared" si="0"/>
        <v>249</v>
      </c>
      <c r="N42" s="363">
        <f t="shared" si="1"/>
        <v>2.5987037790788691E-3</v>
      </c>
    </row>
    <row r="43" spans="2:14" ht="14.25" thickTop="1" thickBot="1">
      <c r="B43" s="250">
        <v>10502</v>
      </c>
      <c r="C43" s="272" t="s">
        <v>746</v>
      </c>
      <c r="D43" s="413">
        <v>9</v>
      </c>
      <c r="E43" s="413">
        <v>9</v>
      </c>
      <c r="F43" s="413">
        <v>16</v>
      </c>
      <c r="G43" s="413">
        <v>8</v>
      </c>
      <c r="H43" s="413">
        <v>19</v>
      </c>
      <c r="I43" s="413">
        <v>8</v>
      </c>
      <c r="J43" s="413">
        <v>14</v>
      </c>
      <c r="K43" s="413">
        <v>15</v>
      </c>
      <c r="L43" s="413">
        <v>10</v>
      </c>
      <c r="M43" s="413">
        <f t="shared" si="0"/>
        <v>108</v>
      </c>
      <c r="N43" s="363">
        <f t="shared" si="1"/>
        <v>1.1271486270703528E-3</v>
      </c>
    </row>
    <row r="44" spans="2:14" ht="14.25" thickTop="1" thickBot="1">
      <c r="B44" s="250">
        <v>10503</v>
      </c>
      <c r="C44" s="272" t="s">
        <v>52</v>
      </c>
      <c r="D44" s="413">
        <v>2</v>
      </c>
      <c r="E44" s="413">
        <v>4</v>
      </c>
      <c r="F44" s="413">
        <v>5</v>
      </c>
      <c r="G44" s="413">
        <v>5</v>
      </c>
      <c r="H44" s="413">
        <v>14</v>
      </c>
      <c r="I44" s="413">
        <v>16</v>
      </c>
      <c r="J44" s="413">
        <v>18</v>
      </c>
      <c r="K44" s="413">
        <v>6</v>
      </c>
      <c r="L44" s="413">
        <v>2</v>
      </c>
      <c r="M44" s="413">
        <f t="shared" si="0"/>
        <v>72</v>
      </c>
      <c r="N44" s="363">
        <f t="shared" si="1"/>
        <v>7.514324180469019E-4</v>
      </c>
    </row>
    <row r="45" spans="2:14" ht="14.25" thickTop="1" thickBot="1">
      <c r="B45" s="250">
        <v>10601</v>
      </c>
      <c r="C45" s="272" t="s">
        <v>20</v>
      </c>
      <c r="D45" s="413">
        <v>27</v>
      </c>
      <c r="E45" s="413">
        <v>9</v>
      </c>
      <c r="F45" s="413">
        <v>9</v>
      </c>
      <c r="G45" s="413">
        <v>11</v>
      </c>
      <c r="H45" s="413">
        <v>21</v>
      </c>
      <c r="I45" s="413">
        <v>13</v>
      </c>
      <c r="J45" s="413">
        <v>13</v>
      </c>
      <c r="K45" s="413">
        <v>6</v>
      </c>
      <c r="L45" s="413">
        <v>9</v>
      </c>
      <c r="M45" s="413">
        <f t="shared" si="0"/>
        <v>118</v>
      </c>
      <c r="N45" s="363">
        <f t="shared" si="1"/>
        <v>1.2315142406879782E-3</v>
      </c>
    </row>
    <row r="46" spans="2:14" ht="14.25" thickTop="1" thickBot="1">
      <c r="B46" s="250">
        <v>10602</v>
      </c>
      <c r="C46" s="272" t="s">
        <v>747</v>
      </c>
      <c r="D46" s="413">
        <v>5</v>
      </c>
      <c r="E46" s="413">
        <v>3</v>
      </c>
      <c r="F46" s="413">
        <v>1</v>
      </c>
      <c r="G46" s="413">
        <v>3</v>
      </c>
      <c r="H46" s="413">
        <v>3</v>
      </c>
      <c r="I46" s="413">
        <v>6</v>
      </c>
      <c r="J46" s="413">
        <v>8</v>
      </c>
      <c r="K46" s="413">
        <v>2</v>
      </c>
      <c r="L46" s="413">
        <v>8</v>
      </c>
      <c r="M46" s="413">
        <f t="shared" si="0"/>
        <v>39</v>
      </c>
      <c r="N46" s="363">
        <f t="shared" si="1"/>
        <v>4.0702589310873854E-4</v>
      </c>
    </row>
    <row r="47" spans="2:14" ht="14.25" thickTop="1" thickBot="1">
      <c r="B47" s="250">
        <v>10603</v>
      </c>
      <c r="C47" s="272" t="s">
        <v>748</v>
      </c>
      <c r="D47" s="413">
        <v>52</v>
      </c>
      <c r="E47" s="413">
        <v>35</v>
      </c>
      <c r="F47" s="413">
        <v>20</v>
      </c>
      <c r="G47" s="413">
        <v>30</v>
      </c>
      <c r="H47" s="413">
        <v>23</v>
      </c>
      <c r="I47" s="413">
        <v>45</v>
      </c>
      <c r="J47" s="413">
        <v>29</v>
      </c>
      <c r="K47" s="413">
        <v>19</v>
      </c>
      <c r="L47" s="413">
        <v>23</v>
      </c>
      <c r="M47" s="413">
        <f t="shared" si="0"/>
        <v>276</v>
      </c>
      <c r="N47" s="363">
        <f t="shared" si="1"/>
        <v>2.8804909358464575E-3</v>
      </c>
    </row>
    <row r="48" spans="2:14" ht="14.25" thickTop="1" thickBot="1">
      <c r="B48" s="250">
        <v>10604</v>
      </c>
      <c r="C48" s="272" t="s">
        <v>749</v>
      </c>
      <c r="D48" s="413">
        <v>32</v>
      </c>
      <c r="E48" s="413">
        <v>25</v>
      </c>
      <c r="F48" s="413">
        <v>18</v>
      </c>
      <c r="G48" s="413">
        <v>22</v>
      </c>
      <c r="H48" s="413">
        <v>29</v>
      </c>
      <c r="I48" s="413">
        <v>27</v>
      </c>
      <c r="J48" s="413">
        <v>27</v>
      </c>
      <c r="K48" s="413">
        <v>26</v>
      </c>
      <c r="L48" s="413">
        <v>31</v>
      </c>
      <c r="M48" s="413">
        <f t="shared" si="0"/>
        <v>237</v>
      </c>
      <c r="N48" s="363">
        <f t="shared" si="1"/>
        <v>2.473465042737719E-3</v>
      </c>
    </row>
    <row r="49" spans="2:14" ht="14.25" thickTop="1" thickBot="1">
      <c r="B49" s="250">
        <v>10605</v>
      </c>
      <c r="C49" s="272" t="s">
        <v>750</v>
      </c>
      <c r="D49" s="413">
        <v>6</v>
      </c>
      <c r="E49" s="413">
        <v>5</v>
      </c>
      <c r="F49" s="413">
        <v>9</v>
      </c>
      <c r="G49" s="413">
        <v>7</v>
      </c>
      <c r="H49" s="413">
        <v>7</v>
      </c>
      <c r="I49" s="413">
        <v>5</v>
      </c>
      <c r="J49" s="413">
        <v>9</v>
      </c>
      <c r="K49" s="413">
        <v>11</v>
      </c>
      <c r="L49" s="413">
        <v>10</v>
      </c>
      <c r="M49" s="413">
        <f t="shared" si="0"/>
        <v>69</v>
      </c>
      <c r="N49" s="363">
        <f t="shared" si="1"/>
        <v>7.2012273396161437E-4</v>
      </c>
    </row>
    <row r="50" spans="2:14" ht="14.25" thickTop="1" thickBot="1">
      <c r="B50" s="250">
        <v>10606</v>
      </c>
      <c r="C50" s="272" t="s">
        <v>751</v>
      </c>
      <c r="D50" s="413">
        <v>2</v>
      </c>
      <c r="E50" s="413">
        <v>3</v>
      </c>
      <c r="F50" s="413">
        <v>3</v>
      </c>
      <c r="G50" s="413" t="s">
        <v>156</v>
      </c>
      <c r="H50" s="413">
        <v>3</v>
      </c>
      <c r="I50" s="413">
        <v>2</v>
      </c>
      <c r="J50" s="413">
        <v>4</v>
      </c>
      <c r="K50" s="413" t="s">
        <v>156</v>
      </c>
      <c r="L50" s="413">
        <v>1</v>
      </c>
      <c r="M50" s="413">
        <f t="shared" si="0"/>
        <v>18</v>
      </c>
      <c r="N50" s="363">
        <f t="shared" si="1"/>
        <v>1.8785810451172548E-4</v>
      </c>
    </row>
    <row r="51" spans="2:14" ht="14.25" thickTop="1" thickBot="1">
      <c r="B51" s="250">
        <v>10607</v>
      </c>
      <c r="C51" s="272" t="s">
        <v>752</v>
      </c>
      <c r="D51" s="413">
        <v>4</v>
      </c>
      <c r="E51" s="413" t="s">
        <v>156</v>
      </c>
      <c r="F51" s="413">
        <v>7</v>
      </c>
      <c r="G51" s="413">
        <v>7</v>
      </c>
      <c r="H51" s="413">
        <v>11</v>
      </c>
      <c r="I51" s="413">
        <v>30</v>
      </c>
      <c r="J51" s="413">
        <v>17</v>
      </c>
      <c r="K51" s="413">
        <v>2</v>
      </c>
      <c r="L51" s="413">
        <v>5</v>
      </c>
      <c r="M51" s="413">
        <f t="shared" si="0"/>
        <v>83</v>
      </c>
      <c r="N51" s="363">
        <f t="shared" si="1"/>
        <v>8.6623459302628966E-4</v>
      </c>
    </row>
    <row r="52" spans="2:14" ht="14.25" thickTop="1" thickBot="1">
      <c r="B52" s="250">
        <v>10701</v>
      </c>
      <c r="C52" s="272" t="s">
        <v>753</v>
      </c>
      <c r="D52" s="413">
        <v>45</v>
      </c>
      <c r="E52" s="413">
        <v>15</v>
      </c>
      <c r="F52" s="413">
        <v>35</v>
      </c>
      <c r="G52" s="413">
        <v>12</v>
      </c>
      <c r="H52" s="413">
        <v>16</v>
      </c>
      <c r="I52" s="413">
        <v>18</v>
      </c>
      <c r="J52" s="413">
        <v>11</v>
      </c>
      <c r="K52" s="413">
        <v>6</v>
      </c>
      <c r="L52" s="413">
        <v>6</v>
      </c>
      <c r="M52" s="413">
        <f t="shared" si="0"/>
        <v>164</v>
      </c>
      <c r="N52" s="363">
        <f t="shared" si="1"/>
        <v>1.7115960633290544E-3</v>
      </c>
    </row>
    <row r="53" spans="2:14" ht="14.25" thickTop="1" thickBot="1">
      <c r="B53" s="250">
        <v>10702</v>
      </c>
      <c r="C53" s="272" t="s">
        <v>754</v>
      </c>
      <c r="D53" s="413">
        <v>17</v>
      </c>
      <c r="E53" s="413">
        <v>26</v>
      </c>
      <c r="F53" s="413">
        <v>14</v>
      </c>
      <c r="G53" s="413">
        <v>13</v>
      </c>
      <c r="H53" s="413">
        <v>19</v>
      </c>
      <c r="I53" s="413">
        <v>16</v>
      </c>
      <c r="J53" s="413">
        <v>15</v>
      </c>
      <c r="K53" s="413">
        <v>10</v>
      </c>
      <c r="L53" s="413">
        <v>11</v>
      </c>
      <c r="M53" s="413">
        <f t="shared" si="0"/>
        <v>141</v>
      </c>
      <c r="N53" s="363">
        <f t="shared" si="1"/>
        <v>1.4715551520085163E-3</v>
      </c>
    </row>
    <row r="54" spans="2:14" ht="14.25" thickTop="1" thickBot="1">
      <c r="B54" s="250">
        <v>10703</v>
      </c>
      <c r="C54" s="272" t="s">
        <v>755</v>
      </c>
      <c r="D54" s="413">
        <v>22</v>
      </c>
      <c r="E54" s="413">
        <v>23</v>
      </c>
      <c r="F54" s="413">
        <v>18</v>
      </c>
      <c r="G54" s="413">
        <v>9</v>
      </c>
      <c r="H54" s="413">
        <v>25</v>
      </c>
      <c r="I54" s="413">
        <v>51</v>
      </c>
      <c r="J54" s="413">
        <v>12</v>
      </c>
      <c r="K54" s="413">
        <v>15</v>
      </c>
      <c r="L54" s="413">
        <v>33</v>
      </c>
      <c r="M54" s="413">
        <f t="shared" si="0"/>
        <v>208</v>
      </c>
      <c r="N54" s="363">
        <f t="shared" si="1"/>
        <v>2.1708047632466054E-3</v>
      </c>
    </row>
    <row r="55" spans="2:14" ht="14.25" thickTop="1" thickBot="1">
      <c r="B55" s="250">
        <v>10704</v>
      </c>
      <c r="C55" s="272" t="s">
        <v>756</v>
      </c>
      <c r="D55" s="413">
        <v>1</v>
      </c>
      <c r="E55" s="413" t="s">
        <v>156</v>
      </c>
      <c r="F55" s="413">
        <v>2</v>
      </c>
      <c r="G55" s="413">
        <v>1</v>
      </c>
      <c r="H55" s="413">
        <v>2</v>
      </c>
      <c r="I55" s="413">
        <v>4</v>
      </c>
      <c r="J55" s="413">
        <v>2</v>
      </c>
      <c r="K55" s="413">
        <v>2</v>
      </c>
      <c r="L55" s="413">
        <v>1</v>
      </c>
      <c r="M55" s="413">
        <f t="shared" si="0"/>
        <v>15</v>
      </c>
      <c r="N55" s="363">
        <f t="shared" si="1"/>
        <v>1.5654842042643789E-4</v>
      </c>
    </row>
    <row r="56" spans="2:14" ht="14.25" thickTop="1" thickBot="1">
      <c r="B56" s="250">
        <v>10705</v>
      </c>
      <c r="C56" s="272" t="s">
        <v>757</v>
      </c>
      <c r="D56" s="413">
        <v>3</v>
      </c>
      <c r="E56" s="413">
        <v>4</v>
      </c>
      <c r="F56" s="413" t="s">
        <v>156</v>
      </c>
      <c r="G56" s="413">
        <v>7</v>
      </c>
      <c r="H56" s="413">
        <v>5</v>
      </c>
      <c r="I56" s="413">
        <v>3</v>
      </c>
      <c r="J56" s="413">
        <v>3</v>
      </c>
      <c r="K56" s="413">
        <v>3</v>
      </c>
      <c r="L56" s="413">
        <v>2</v>
      </c>
      <c r="M56" s="413">
        <f t="shared" si="0"/>
        <v>30</v>
      </c>
      <c r="N56" s="363">
        <f t="shared" si="1"/>
        <v>3.1309684085287578E-4</v>
      </c>
    </row>
    <row r="57" spans="2:14" ht="14.25" thickTop="1" thickBot="1">
      <c r="B57" s="250">
        <v>10706</v>
      </c>
      <c r="C57" s="272" t="s">
        <v>758</v>
      </c>
      <c r="D57" s="413" t="s">
        <v>156</v>
      </c>
      <c r="E57" s="413" t="s">
        <v>156</v>
      </c>
      <c r="F57" s="413" t="s">
        <v>156</v>
      </c>
      <c r="G57" s="413" t="s">
        <v>156</v>
      </c>
      <c r="H57" s="413" t="s">
        <v>156</v>
      </c>
      <c r="I57" s="413" t="s">
        <v>156</v>
      </c>
      <c r="J57" s="413" t="s">
        <v>156</v>
      </c>
      <c r="K57" s="413">
        <v>1</v>
      </c>
      <c r="L57" s="413">
        <v>1</v>
      </c>
      <c r="M57" s="413">
        <f t="shared" si="0"/>
        <v>2</v>
      </c>
      <c r="N57" s="363">
        <f t="shared" si="1"/>
        <v>2.0873122723525052E-5</v>
      </c>
    </row>
    <row r="58" spans="2:14" ht="14.25" thickTop="1" thickBot="1">
      <c r="B58" s="250">
        <v>10707</v>
      </c>
      <c r="C58" s="272" t="s">
        <v>759</v>
      </c>
      <c r="D58" s="413" t="s">
        <v>156</v>
      </c>
      <c r="E58" s="413" t="s">
        <v>156</v>
      </c>
      <c r="F58" s="413" t="s">
        <v>156</v>
      </c>
      <c r="G58" s="413" t="s">
        <v>156</v>
      </c>
      <c r="H58" s="413" t="s">
        <v>156</v>
      </c>
      <c r="I58" s="413" t="s">
        <v>156</v>
      </c>
      <c r="J58" s="413" t="s">
        <v>156</v>
      </c>
      <c r="K58" s="413" t="s">
        <v>156</v>
      </c>
      <c r="L58" s="413">
        <v>1</v>
      </c>
      <c r="M58" s="413">
        <f t="shared" si="0"/>
        <v>1</v>
      </c>
      <c r="N58" s="363">
        <f t="shared" si="1"/>
        <v>1.0436561361762526E-5</v>
      </c>
    </row>
    <row r="59" spans="2:14" ht="14.25" thickTop="1" thickBot="1">
      <c r="B59" s="250">
        <v>10801</v>
      </c>
      <c r="C59" s="272" t="s">
        <v>760</v>
      </c>
      <c r="D59" s="413">
        <v>3</v>
      </c>
      <c r="E59" s="413">
        <v>3</v>
      </c>
      <c r="F59" s="413">
        <v>2</v>
      </c>
      <c r="G59" s="413">
        <v>4</v>
      </c>
      <c r="H59" s="413">
        <v>1</v>
      </c>
      <c r="I59" s="413">
        <v>2</v>
      </c>
      <c r="J59" s="413">
        <v>5</v>
      </c>
      <c r="K59" s="413">
        <v>1</v>
      </c>
      <c r="L59" s="413">
        <v>1</v>
      </c>
      <c r="M59" s="413">
        <f t="shared" si="0"/>
        <v>22</v>
      </c>
      <c r="N59" s="363">
        <f t="shared" si="1"/>
        <v>2.2960434995877559E-4</v>
      </c>
    </row>
    <row r="60" spans="2:14" ht="14.25" thickTop="1" thickBot="1">
      <c r="B60" s="250">
        <v>10802</v>
      </c>
      <c r="C60" s="272" t="s">
        <v>761</v>
      </c>
      <c r="D60" s="413">
        <v>1</v>
      </c>
      <c r="E60" s="413">
        <v>1</v>
      </c>
      <c r="F60" s="413" t="s">
        <v>156</v>
      </c>
      <c r="G60" s="413">
        <v>1</v>
      </c>
      <c r="H60" s="413" t="s">
        <v>156</v>
      </c>
      <c r="I60" s="413">
        <v>1</v>
      </c>
      <c r="J60" s="413">
        <v>1</v>
      </c>
      <c r="K60" s="413" t="s">
        <v>156</v>
      </c>
      <c r="L60" s="413">
        <v>1</v>
      </c>
      <c r="M60" s="413">
        <f t="shared" si="0"/>
        <v>6</v>
      </c>
      <c r="N60" s="363">
        <f t="shared" si="1"/>
        <v>6.2619368170575154E-5</v>
      </c>
    </row>
    <row r="61" spans="2:14" ht="14.25" thickTop="1" thickBot="1">
      <c r="B61" s="250">
        <v>10803</v>
      </c>
      <c r="C61" s="272" t="s">
        <v>762</v>
      </c>
      <c r="D61" s="413">
        <v>2</v>
      </c>
      <c r="E61" s="413">
        <v>2</v>
      </c>
      <c r="F61" s="413" t="s">
        <v>156</v>
      </c>
      <c r="G61" s="413">
        <v>5</v>
      </c>
      <c r="H61" s="413">
        <v>2</v>
      </c>
      <c r="I61" s="413">
        <v>3</v>
      </c>
      <c r="J61" s="413">
        <v>8</v>
      </c>
      <c r="K61" s="413">
        <v>6</v>
      </c>
      <c r="L61" s="413">
        <v>2</v>
      </c>
      <c r="M61" s="413">
        <f t="shared" si="0"/>
        <v>30</v>
      </c>
      <c r="N61" s="363">
        <f t="shared" si="1"/>
        <v>3.1309684085287578E-4</v>
      </c>
    </row>
    <row r="62" spans="2:14" ht="14.25" thickTop="1" thickBot="1">
      <c r="B62" s="250">
        <v>10804</v>
      </c>
      <c r="C62" s="272" t="s">
        <v>763</v>
      </c>
      <c r="D62" s="413">
        <v>3</v>
      </c>
      <c r="E62" s="413">
        <v>3</v>
      </c>
      <c r="F62" s="413">
        <v>3</v>
      </c>
      <c r="G62" s="413">
        <v>2</v>
      </c>
      <c r="H62" s="413">
        <v>4</v>
      </c>
      <c r="I62" s="413">
        <v>4</v>
      </c>
      <c r="J62" s="413">
        <v>3</v>
      </c>
      <c r="K62" s="413">
        <v>1</v>
      </c>
      <c r="L62" s="413">
        <v>6</v>
      </c>
      <c r="M62" s="413">
        <f t="shared" si="0"/>
        <v>29</v>
      </c>
      <c r="N62" s="363">
        <f t="shared" si="1"/>
        <v>3.0266027949111326E-4</v>
      </c>
    </row>
    <row r="63" spans="2:14" ht="14.25" thickTop="1" thickBot="1">
      <c r="B63" s="250">
        <v>10805</v>
      </c>
      <c r="C63" s="272" t="s">
        <v>764</v>
      </c>
      <c r="D63" s="413">
        <v>25</v>
      </c>
      <c r="E63" s="413">
        <v>21</v>
      </c>
      <c r="F63" s="413">
        <v>15</v>
      </c>
      <c r="G63" s="413">
        <v>20</v>
      </c>
      <c r="H63" s="413">
        <v>15</v>
      </c>
      <c r="I63" s="413">
        <v>11</v>
      </c>
      <c r="J63" s="413">
        <v>12</v>
      </c>
      <c r="K63" s="413">
        <v>13</v>
      </c>
      <c r="L63" s="413">
        <v>18</v>
      </c>
      <c r="M63" s="413">
        <f t="shared" si="0"/>
        <v>150</v>
      </c>
      <c r="N63" s="363">
        <f t="shared" si="1"/>
        <v>1.5654842042643789E-3</v>
      </c>
    </row>
    <row r="64" spans="2:14" ht="14.25" thickTop="1" thickBot="1">
      <c r="B64" s="250">
        <v>10806</v>
      </c>
      <c r="C64" s="272" t="s">
        <v>765</v>
      </c>
      <c r="D64" s="413" t="s">
        <v>156</v>
      </c>
      <c r="E64" s="413">
        <v>1</v>
      </c>
      <c r="F64" s="413">
        <v>1</v>
      </c>
      <c r="G64" s="413">
        <v>1</v>
      </c>
      <c r="H64" s="413">
        <v>1</v>
      </c>
      <c r="I64" s="413" t="s">
        <v>156</v>
      </c>
      <c r="J64" s="413" t="s">
        <v>156</v>
      </c>
      <c r="K64" s="413" t="s">
        <v>156</v>
      </c>
      <c r="L64" s="413">
        <v>1</v>
      </c>
      <c r="M64" s="413">
        <f t="shared" si="0"/>
        <v>5</v>
      </c>
      <c r="N64" s="363">
        <f t="shared" si="1"/>
        <v>5.2182806808812633E-5</v>
      </c>
    </row>
    <row r="65" spans="2:15" ht="14.25" thickTop="1" thickBot="1">
      <c r="B65" s="250">
        <v>10807</v>
      </c>
      <c r="C65" s="272" t="s">
        <v>766</v>
      </c>
      <c r="D65" s="413">
        <v>28</v>
      </c>
      <c r="E65" s="413">
        <v>17</v>
      </c>
      <c r="F65" s="413">
        <v>16</v>
      </c>
      <c r="G65" s="413">
        <v>17</v>
      </c>
      <c r="H65" s="413">
        <v>10</v>
      </c>
      <c r="I65" s="413">
        <v>9</v>
      </c>
      <c r="J65" s="413">
        <v>76</v>
      </c>
      <c r="K65" s="413">
        <v>27</v>
      </c>
      <c r="L65" s="413">
        <v>75</v>
      </c>
      <c r="M65" s="413">
        <f t="shared" si="0"/>
        <v>275</v>
      </c>
      <c r="N65" s="363">
        <f t="shared" si="1"/>
        <v>2.8700543744846949E-3</v>
      </c>
    </row>
    <row r="66" spans="2:15" ht="14.25" thickTop="1" thickBot="1">
      <c r="B66" s="250">
        <v>10901</v>
      </c>
      <c r="C66" s="272" t="s">
        <v>23</v>
      </c>
      <c r="D66" s="413">
        <v>2</v>
      </c>
      <c r="E66" s="413">
        <v>1</v>
      </c>
      <c r="F66" s="413">
        <v>1</v>
      </c>
      <c r="G66" s="413">
        <v>1</v>
      </c>
      <c r="H66" s="413" t="s">
        <v>156</v>
      </c>
      <c r="I66" s="413" t="s">
        <v>156</v>
      </c>
      <c r="J66" s="413">
        <v>1</v>
      </c>
      <c r="K66" s="413" t="s">
        <v>156</v>
      </c>
      <c r="L66" s="413" t="s">
        <v>156</v>
      </c>
      <c r="M66" s="413">
        <f t="shared" si="0"/>
        <v>6</v>
      </c>
      <c r="N66" s="363">
        <f t="shared" si="1"/>
        <v>6.2619368170575154E-5</v>
      </c>
    </row>
    <row r="67" spans="2:15" ht="14.25" thickTop="1" thickBot="1">
      <c r="B67" s="250">
        <v>10902</v>
      </c>
      <c r="C67" s="272" t="s">
        <v>767</v>
      </c>
      <c r="D67" s="413" t="s">
        <v>156</v>
      </c>
      <c r="E67" s="413" t="s">
        <v>156</v>
      </c>
      <c r="F67" s="413" t="s">
        <v>156</v>
      </c>
      <c r="G67" s="413">
        <v>1</v>
      </c>
      <c r="H67" s="413" t="s">
        <v>156</v>
      </c>
      <c r="I67" s="413" t="s">
        <v>156</v>
      </c>
      <c r="J67" s="413" t="s">
        <v>156</v>
      </c>
      <c r="K67" s="413" t="s">
        <v>156</v>
      </c>
      <c r="L67" s="413" t="s">
        <v>156</v>
      </c>
      <c r="M67" s="413">
        <f t="shared" si="0"/>
        <v>1</v>
      </c>
      <c r="N67" s="363">
        <f t="shared" si="1"/>
        <v>1.0436561361762526E-5</v>
      </c>
    </row>
    <row r="68" spans="2:15" ht="14.25" thickTop="1" thickBot="1">
      <c r="B68" s="250">
        <v>10903</v>
      </c>
      <c r="C68" s="272" t="s">
        <v>768</v>
      </c>
      <c r="D68" s="413">
        <v>2</v>
      </c>
      <c r="E68" s="413">
        <v>3</v>
      </c>
      <c r="F68" s="413">
        <v>4</v>
      </c>
      <c r="G68" s="413">
        <v>2</v>
      </c>
      <c r="H68" s="413">
        <v>1</v>
      </c>
      <c r="I68" s="413">
        <v>1</v>
      </c>
      <c r="J68" s="413" t="s">
        <v>156</v>
      </c>
      <c r="K68" s="413">
        <v>1</v>
      </c>
      <c r="L68" s="413">
        <v>1</v>
      </c>
      <c r="M68" s="413">
        <f t="shared" si="0"/>
        <v>15</v>
      </c>
      <c r="N68" s="363">
        <f t="shared" si="1"/>
        <v>1.5654842042643789E-4</v>
      </c>
    </row>
    <row r="69" spans="2:15" ht="14.25" thickTop="1" thickBot="1">
      <c r="B69" s="250">
        <v>10904</v>
      </c>
      <c r="C69" s="272" t="s">
        <v>721</v>
      </c>
      <c r="D69" s="413">
        <v>2</v>
      </c>
      <c r="E69" s="413" t="s">
        <v>156</v>
      </c>
      <c r="F69" s="413">
        <v>1</v>
      </c>
      <c r="G69" s="413" t="s">
        <v>156</v>
      </c>
      <c r="H69" s="413" t="s">
        <v>156</v>
      </c>
      <c r="I69" s="413" t="s">
        <v>156</v>
      </c>
      <c r="J69" s="413" t="s">
        <v>156</v>
      </c>
      <c r="K69" s="413">
        <v>2</v>
      </c>
      <c r="L69" s="413" t="s">
        <v>156</v>
      </c>
      <c r="M69" s="413">
        <f t="shared" si="0"/>
        <v>5</v>
      </c>
      <c r="N69" s="363">
        <f t="shared" si="1"/>
        <v>5.2182806808812633E-5</v>
      </c>
    </row>
    <row r="70" spans="2:15" ht="14.25" thickTop="1" thickBot="1">
      <c r="B70" s="250">
        <v>10905</v>
      </c>
      <c r="C70" s="272" t="s">
        <v>769</v>
      </c>
      <c r="D70" s="413" t="s">
        <v>156</v>
      </c>
      <c r="E70" s="413">
        <v>1</v>
      </c>
      <c r="F70" s="413">
        <v>1</v>
      </c>
      <c r="G70" s="413" t="s">
        <v>156</v>
      </c>
      <c r="H70" s="413">
        <v>1</v>
      </c>
      <c r="I70" s="413" t="s">
        <v>156</v>
      </c>
      <c r="J70" s="413" t="s">
        <v>156</v>
      </c>
      <c r="K70" s="413" t="s">
        <v>156</v>
      </c>
      <c r="L70" s="413" t="s">
        <v>156</v>
      </c>
      <c r="M70" s="413">
        <f t="shared" ref="M70:M133" si="2">SUM(D70:L70)</f>
        <v>3</v>
      </c>
      <c r="N70" s="363">
        <f t="shared" si="1"/>
        <v>3.1309684085287577E-5</v>
      </c>
    </row>
    <row r="71" spans="2:15" ht="14.25" thickTop="1" thickBot="1">
      <c r="B71" s="250">
        <v>10906</v>
      </c>
      <c r="C71" s="272" t="s">
        <v>770</v>
      </c>
      <c r="D71" s="413" t="s">
        <v>156</v>
      </c>
      <c r="E71" s="413">
        <v>1</v>
      </c>
      <c r="F71" s="413">
        <v>1</v>
      </c>
      <c r="G71" s="413" t="s">
        <v>156</v>
      </c>
      <c r="H71" s="413" t="s">
        <v>156</v>
      </c>
      <c r="I71" s="413" t="s">
        <v>156</v>
      </c>
      <c r="J71" s="413" t="s">
        <v>156</v>
      </c>
      <c r="K71" s="413" t="s">
        <v>156</v>
      </c>
      <c r="L71" s="413" t="s">
        <v>156</v>
      </c>
      <c r="M71" s="413">
        <f t="shared" si="2"/>
        <v>2</v>
      </c>
      <c r="N71" s="363">
        <f t="shared" ref="N71:N134" si="3">+M71/$M$491</f>
        <v>2.0873122723525052E-5</v>
      </c>
      <c r="O71" s="181"/>
    </row>
    <row r="72" spans="2:15" ht="14.25" thickTop="1" thickBot="1">
      <c r="B72" s="250">
        <v>11001</v>
      </c>
      <c r="C72" s="272" t="s">
        <v>24</v>
      </c>
      <c r="D72" s="413">
        <v>4</v>
      </c>
      <c r="E72" s="413" t="s">
        <v>156</v>
      </c>
      <c r="F72" s="413">
        <v>5</v>
      </c>
      <c r="G72" s="413">
        <v>5</v>
      </c>
      <c r="H72" s="413">
        <v>7</v>
      </c>
      <c r="I72" s="413">
        <v>4</v>
      </c>
      <c r="J72" s="413">
        <v>1</v>
      </c>
      <c r="K72" s="413">
        <v>8</v>
      </c>
      <c r="L72" s="413">
        <v>3</v>
      </c>
      <c r="M72" s="413">
        <f t="shared" si="2"/>
        <v>37</v>
      </c>
      <c r="N72" s="363">
        <f t="shared" si="3"/>
        <v>3.8615277038521348E-4</v>
      </c>
    </row>
    <row r="73" spans="2:15" ht="14.25" thickTop="1" thickBot="1">
      <c r="B73" s="250">
        <v>11002</v>
      </c>
      <c r="C73" s="272" t="s">
        <v>771</v>
      </c>
      <c r="D73" s="413">
        <v>3</v>
      </c>
      <c r="E73" s="413">
        <v>1</v>
      </c>
      <c r="F73" s="413">
        <v>7</v>
      </c>
      <c r="G73" s="413">
        <v>3</v>
      </c>
      <c r="H73" s="413">
        <v>2</v>
      </c>
      <c r="I73" s="413" t="s">
        <v>156</v>
      </c>
      <c r="J73" s="413">
        <v>2</v>
      </c>
      <c r="K73" s="413" t="s">
        <v>156</v>
      </c>
      <c r="L73" s="413">
        <v>4</v>
      </c>
      <c r="M73" s="413">
        <f t="shared" si="2"/>
        <v>22</v>
      </c>
      <c r="N73" s="363">
        <f t="shared" si="3"/>
        <v>2.2960434995877559E-4</v>
      </c>
    </row>
    <row r="74" spans="2:15" ht="14.25" thickTop="1" thickBot="1">
      <c r="B74" s="250">
        <v>11003</v>
      </c>
      <c r="C74" s="272" t="s">
        <v>726</v>
      </c>
      <c r="D74" s="413" t="s">
        <v>156</v>
      </c>
      <c r="E74" s="413">
        <v>1</v>
      </c>
      <c r="F74" s="413">
        <v>2</v>
      </c>
      <c r="G74" s="413">
        <v>2</v>
      </c>
      <c r="H74" s="413">
        <v>1</v>
      </c>
      <c r="I74" s="413">
        <v>4</v>
      </c>
      <c r="J74" s="413" t="s">
        <v>156</v>
      </c>
      <c r="K74" s="413">
        <v>3</v>
      </c>
      <c r="L74" s="413">
        <v>1</v>
      </c>
      <c r="M74" s="413">
        <f t="shared" si="2"/>
        <v>14</v>
      </c>
      <c r="N74" s="363">
        <f t="shared" si="3"/>
        <v>1.4611185906467536E-4</v>
      </c>
    </row>
    <row r="75" spans="2:15" ht="14.25" thickTop="1" thickBot="1">
      <c r="B75" s="250">
        <v>11004</v>
      </c>
      <c r="C75" s="272" t="s">
        <v>772</v>
      </c>
      <c r="D75" s="413">
        <v>9</v>
      </c>
      <c r="E75" s="413">
        <v>3</v>
      </c>
      <c r="F75" s="413">
        <v>6</v>
      </c>
      <c r="G75" s="413">
        <v>9</v>
      </c>
      <c r="H75" s="413">
        <v>4</v>
      </c>
      <c r="I75" s="413">
        <v>4</v>
      </c>
      <c r="J75" s="413">
        <v>4</v>
      </c>
      <c r="K75" s="413">
        <v>3</v>
      </c>
      <c r="L75" s="413">
        <v>4</v>
      </c>
      <c r="M75" s="413">
        <f t="shared" si="2"/>
        <v>46</v>
      </c>
      <c r="N75" s="363">
        <f t="shared" si="3"/>
        <v>4.8008182264107623E-4</v>
      </c>
    </row>
    <row r="76" spans="2:15" ht="14.25" thickTop="1" thickBot="1">
      <c r="B76" s="250">
        <v>11005</v>
      </c>
      <c r="C76" s="272" t="s">
        <v>773</v>
      </c>
      <c r="D76" s="413">
        <v>23</v>
      </c>
      <c r="E76" s="413">
        <v>14</v>
      </c>
      <c r="F76" s="413">
        <v>9</v>
      </c>
      <c r="G76" s="413">
        <v>14</v>
      </c>
      <c r="H76" s="413">
        <v>14</v>
      </c>
      <c r="I76" s="413">
        <v>17</v>
      </c>
      <c r="J76" s="413">
        <v>103</v>
      </c>
      <c r="K76" s="413">
        <v>26</v>
      </c>
      <c r="L76" s="413">
        <v>13</v>
      </c>
      <c r="M76" s="413">
        <f t="shared" si="2"/>
        <v>233</v>
      </c>
      <c r="N76" s="363">
        <f t="shared" si="3"/>
        <v>2.4317187972906686E-3</v>
      </c>
    </row>
    <row r="77" spans="2:15" ht="14.25" thickTop="1" thickBot="1">
      <c r="B77" s="250">
        <v>11101</v>
      </c>
      <c r="C77" s="272" t="s">
        <v>63</v>
      </c>
      <c r="D77" s="413" t="s">
        <v>156</v>
      </c>
      <c r="E77" s="413">
        <v>2</v>
      </c>
      <c r="F77" s="413" t="s">
        <v>156</v>
      </c>
      <c r="G77" s="413" t="s">
        <v>156</v>
      </c>
      <c r="H77" s="413" t="s">
        <v>156</v>
      </c>
      <c r="I77" s="413">
        <v>4</v>
      </c>
      <c r="J77" s="413">
        <v>3</v>
      </c>
      <c r="K77" s="413">
        <v>2</v>
      </c>
      <c r="L77" s="413">
        <v>5</v>
      </c>
      <c r="M77" s="413">
        <f t="shared" si="2"/>
        <v>16</v>
      </c>
      <c r="N77" s="363">
        <f t="shared" si="3"/>
        <v>1.6698498178820042E-4</v>
      </c>
    </row>
    <row r="78" spans="2:15" ht="14.25" thickTop="1" thickBot="1">
      <c r="B78" s="250">
        <v>11102</v>
      </c>
      <c r="C78" s="272" t="s">
        <v>18</v>
      </c>
      <c r="D78" s="413" t="s">
        <v>156</v>
      </c>
      <c r="E78" s="413">
        <v>3</v>
      </c>
      <c r="F78" s="413">
        <v>1</v>
      </c>
      <c r="G78" s="413">
        <v>1</v>
      </c>
      <c r="H78" s="413">
        <v>3</v>
      </c>
      <c r="I78" s="413">
        <v>1</v>
      </c>
      <c r="J78" s="413">
        <v>2</v>
      </c>
      <c r="K78" s="413">
        <v>1</v>
      </c>
      <c r="L78" s="413" t="s">
        <v>156</v>
      </c>
      <c r="M78" s="413">
        <f t="shared" si="2"/>
        <v>12</v>
      </c>
      <c r="N78" s="363">
        <f t="shared" si="3"/>
        <v>1.2523873634115031E-4</v>
      </c>
    </row>
    <row r="79" spans="2:15" ht="14.25" thickTop="1" thickBot="1">
      <c r="B79" s="250">
        <v>11103</v>
      </c>
      <c r="C79" s="272" t="s">
        <v>774</v>
      </c>
      <c r="D79" s="413">
        <v>4</v>
      </c>
      <c r="E79" s="413">
        <v>4</v>
      </c>
      <c r="F79" s="413" t="s">
        <v>156</v>
      </c>
      <c r="G79" s="413">
        <v>1</v>
      </c>
      <c r="H79" s="413">
        <v>2</v>
      </c>
      <c r="I79" s="413">
        <v>1</v>
      </c>
      <c r="J79" s="413">
        <v>1</v>
      </c>
      <c r="K79" s="413">
        <v>1</v>
      </c>
      <c r="L79" s="413">
        <v>1</v>
      </c>
      <c r="M79" s="413">
        <f t="shared" si="2"/>
        <v>15</v>
      </c>
      <c r="N79" s="363">
        <f t="shared" si="3"/>
        <v>1.5654842042643789E-4</v>
      </c>
    </row>
    <row r="80" spans="2:15" ht="14.25" thickTop="1" thickBot="1">
      <c r="B80" s="250">
        <v>11104</v>
      </c>
      <c r="C80" s="272" t="s">
        <v>775</v>
      </c>
      <c r="D80" s="413">
        <v>16</v>
      </c>
      <c r="E80" s="413">
        <v>8</v>
      </c>
      <c r="F80" s="413">
        <v>8</v>
      </c>
      <c r="G80" s="413">
        <v>7</v>
      </c>
      <c r="H80" s="413">
        <v>8</v>
      </c>
      <c r="I80" s="413">
        <v>6</v>
      </c>
      <c r="J80" s="413">
        <v>4</v>
      </c>
      <c r="K80" s="413">
        <v>2</v>
      </c>
      <c r="L80" s="413">
        <v>3</v>
      </c>
      <c r="M80" s="413">
        <f t="shared" si="2"/>
        <v>62</v>
      </c>
      <c r="N80" s="363">
        <f t="shared" si="3"/>
        <v>6.4706680442927662E-4</v>
      </c>
    </row>
    <row r="81" spans="2:14" ht="14.25" thickTop="1" thickBot="1">
      <c r="B81" s="250">
        <v>11105</v>
      </c>
      <c r="C81" s="272" t="s">
        <v>776</v>
      </c>
      <c r="D81" s="413">
        <v>3</v>
      </c>
      <c r="E81" s="413">
        <v>3</v>
      </c>
      <c r="F81" s="413">
        <v>2</v>
      </c>
      <c r="G81" s="413" t="s">
        <v>156</v>
      </c>
      <c r="H81" s="413">
        <v>2</v>
      </c>
      <c r="I81" s="413" t="s">
        <v>156</v>
      </c>
      <c r="J81" s="413">
        <v>1</v>
      </c>
      <c r="K81" s="413">
        <v>3</v>
      </c>
      <c r="L81" s="413">
        <v>6</v>
      </c>
      <c r="M81" s="413">
        <f t="shared" si="2"/>
        <v>20</v>
      </c>
      <c r="N81" s="363">
        <f t="shared" si="3"/>
        <v>2.0873122723525053E-4</v>
      </c>
    </row>
    <row r="82" spans="2:14" ht="14.25" thickTop="1" thickBot="1">
      <c r="B82" s="250">
        <v>11201</v>
      </c>
      <c r="C82" s="272" t="s">
        <v>777</v>
      </c>
      <c r="D82" s="413">
        <v>57</v>
      </c>
      <c r="E82" s="413">
        <v>40</v>
      </c>
      <c r="F82" s="413">
        <v>31</v>
      </c>
      <c r="G82" s="413">
        <v>32</v>
      </c>
      <c r="H82" s="413">
        <v>104</v>
      </c>
      <c r="I82" s="413">
        <v>51</v>
      </c>
      <c r="J82" s="413">
        <v>22</v>
      </c>
      <c r="K82" s="413">
        <v>35</v>
      </c>
      <c r="L82" s="413">
        <v>30</v>
      </c>
      <c r="M82" s="413">
        <f t="shared" si="2"/>
        <v>402</v>
      </c>
      <c r="N82" s="363">
        <f t="shared" si="3"/>
        <v>4.1954976674285355E-3</v>
      </c>
    </row>
    <row r="83" spans="2:14" ht="14.25" thickTop="1" thickBot="1">
      <c r="B83" s="250">
        <v>11202</v>
      </c>
      <c r="C83" s="272" t="s">
        <v>778</v>
      </c>
      <c r="D83" s="413">
        <v>19</v>
      </c>
      <c r="E83" s="413">
        <v>12</v>
      </c>
      <c r="F83" s="413">
        <v>19</v>
      </c>
      <c r="G83" s="413">
        <v>20</v>
      </c>
      <c r="H83" s="413">
        <v>19</v>
      </c>
      <c r="I83" s="413">
        <v>10</v>
      </c>
      <c r="J83" s="413">
        <v>15</v>
      </c>
      <c r="K83" s="413">
        <v>15</v>
      </c>
      <c r="L83" s="413">
        <v>14</v>
      </c>
      <c r="M83" s="413">
        <f t="shared" si="2"/>
        <v>143</v>
      </c>
      <c r="N83" s="363">
        <f t="shared" si="3"/>
        <v>1.4924282747320412E-3</v>
      </c>
    </row>
    <row r="84" spans="2:14" ht="14.25" thickTop="1" thickBot="1">
      <c r="B84" s="250">
        <v>11203</v>
      </c>
      <c r="C84" s="272" t="s">
        <v>779</v>
      </c>
      <c r="D84" s="413">
        <v>35</v>
      </c>
      <c r="E84" s="413">
        <v>29</v>
      </c>
      <c r="F84" s="413">
        <v>16</v>
      </c>
      <c r="G84" s="413">
        <v>16</v>
      </c>
      <c r="H84" s="413">
        <v>41</v>
      </c>
      <c r="I84" s="413">
        <v>17</v>
      </c>
      <c r="J84" s="413">
        <v>21</v>
      </c>
      <c r="K84" s="413">
        <v>18</v>
      </c>
      <c r="L84" s="413">
        <v>26</v>
      </c>
      <c r="M84" s="413">
        <f t="shared" si="2"/>
        <v>219</v>
      </c>
      <c r="N84" s="363">
        <f t="shared" si="3"/>
        <v>2.2856069382259933E-3</v>
      </c>
    </row>
    <row r="85" spans="2:14" ht="14.25" thickTop="1" thickBot="1">
      <c r="B85" s="250">
        <v>11204</v>
      </c>
      <c r="C85" s="272" t="s">
        <v>780</v>
      </c>
      <c r="D85" s="413">
        <v>14</v>
      </c>
      <c r="E85" s="413">
        <v>7</v>
      </c>
      <c r="F85" s="413">
        <v>7</v>
      </c>
      <c r="G85" s="413">
        <v>8</v>
      </c>
      <c r="H85" s="413">
        <v>11</v>
      </c>
      <c r="I85" s="413">
        <v>15</v>
      </c>
      <c r="J85" s="413">
        <v>22</v>
      </c>
      <c r="K85" s="413">
        <v>12</v>
      </c>
      <c r="L85" s="413">
        <v>5</v>
      </c>
      <c r="M85" s="413">
        <f t="shared" si="2"/>
        <v>101</v>
      </c>
      <c r="N85" s="363">
        <f t="shared" si="3"/>
        <v>1.0540926975380152E-3</v>
      </c>
    </row>
    <row r="86" spans="2:14" ht="14.25" thickTop="1" thickBot="1">
      <c r="B86" s="250">
        <v>11205</v>
      </c>
      <c r="C86" s="272" t="s">
        <v>781</v>
      </c>
      <c r="D86" s="413">
        <v>20</v>
      </c>
      <c r="E86" s="413">
        <v>7</v>
      </c>
      <c r="F86" s="413">
        <v>15</v>
      </c>
      <c r="G86" s="413">
        <v>10</v>
      </c>
      <c r="H86" s="413">
        <v>13</v>
      </c>
      <c r="I86" s="413">
        <v>11</v>
      </c>
      <c r="J86" s="413">
        <v>21</v>
      </c>
      <c r="K86" s="413">
        <v>16</v>
      </c>
      <c r="L86" s="413">
        <v>12</v>
      </c>
      <c r="M86" s="413">
        <f t="shared" si="2"/>
        <v>125</v>
      </c>
      <c r="N86" s="363">
        <f t="shared" si="3"/>
        <v>1.3045701702203158E-3</v>
      </c>
    </row>
    <row r="87" spans="2:14" ht="14.25" thickTop="1" thickBot="1">
      <c r="B87" s="250">
        <v>11301</v>
      </c>
      <c r="C87" s="272" t="s">
        <v>782</v>
      </c>
      <c r="D87" s="413">
        <v>4</v>
      </c>
      <c r="E87" s="413">
        <v>3</v>
      </c>
      <c r="F87" s="413">
        <v>2</v>
      </c>
      <c r="G87" s="413">
        <v>3</v>
      </c>
      <c r="H87" s="413">
        <v>4</v>
      </c>
      <c r="I87" s="413">
        <v>1</v>
      </c>
      <c r="J87" s="413">
        <v>2</v>
      </c>
      <c r="K87" s="413">
        <v>3</v>
      </c>
      <c r="L87" s="413">
        <v>3</v>
      </c>
      <c r="M87" s="413">
        <f t="shared" si="2"/>
        <v>25</v>
      </c>
      <c r="N87" s="363">
        <f t="shared" si="3"/>
        <v>2.6091403404406314E-4</v>
      </c>
    </row>
    <row r="88" spans="2:14" ht="14.25" thickTop="1" thickBot="1">
      <c r="B88" s="250">
        <v>11302</v>
      </c>
      <c r="C88" s="272" t="s">
        <v>783</v>
      </c>
      <c r="D88" s="413">
        <v>10</v>
      </c>
      <c r="E88" s="413">
        <v>6</v>
      </c>
      <c r="F88" s="413">
        <v>5</v>
      </c>
      <c r="G88" s="413">
        <v>17</v>
      </c>
      <c r="H88" s="413">
        <v>6</v>
      </c>
      <c r="I88" s="413">
        <v>6</v>
      </c>
      <c r="J88" s="413">
        <v>7</v>
      </c>
      <c r="K88" s="413">
        <v>4</v>
      </c>
      <c r="L88" s="413">
        <v>11</v>
      </c>
      <c r="M88" s="413">
        <f t="shared" si="2"/>
        <v>72</v>
      </c>
      <c r="N88" s="363">
        <f t="shared" si="3"/>
        <v>7.514324180469019E-4</v>
      </c>
    </row>
    <row r="89" spans="2:14" ht="14.25" thickTop="1" thickBot="1">
      <c r="B89" s="250">
        <v>11303</v>
      </c>
      <c r="C89" s="272" t="s">
        <v>784</v>
      </c>
      <c r="D89" s="413">
        <v>2</v>
      </c>
      <c r="E89" s="413">
        <v>1</v>
      </c>
      <c r="F89" s="413" t="s">
        <v>156</v>
      </c>
      <c r="G89" s="413" t="s">
        <v>156</v>
      </c>
      <c r="H89" s="413" t="s">
        <v>156</v>
      </c>
      <c r="I89" s="413" t="s">
        <v>156</v>
      </c>
      <c r="J89" s="413" t="s">
        <v>156</v>
      </c>
      <c r="K89" s="413" t="s">
        <v>156</v>
      </c>
      <c r="L89" s="413" t="s">
        <v>156</v>
      </c>
      <c r="M89" s="413">
        <f t="shared" si="2"/>
        <v>3</v>
      </c>
      <c r="N89" s="363">
        <f t="shared" si="3"/>
        <v>3.1309684085287577E-5</v>
      </c>
    </row>
    <row r="90" spans="2:14" ht="14.25" thickTop="1" thickBot="1">
      <c r="B90" s="250">
        <v>11304</v>
      </c>
      <c r="C90" s="272" t="s">
        <v>785</v>
      </c>
      <c r="D90" s="413">
        <v>2</v>
      </c>
      <c r="E90" s="413">
        <v>1</v>
      </c>
      <c r="F90" s="413">
        <v>5</v>
      </c>
      <c r="G90" s="413">
        <v>7</v>
      </c>
      <c r="H90" s="413">
        <v>9</v>
      </c>
      <c r="I90" s="413">
        <v>3</v>
      </c>
      <c r="J90" s="413">
        <v>3</v>
      </c>
      <c r="K90" s="413">
        <v>1</v>
      </c>
      <c r="L90" s="413">
        <v>3</v>
      </c>
      <c r="M90" s="413">
        <f t="shared" si="2"/>
        <v>34</v>
      </c>
      <c r="N90" s="363">
        <f t="shared" si="3"/>
        <v>3.548430862999259E-4</v>
      </c>
    </row>
    <row r="91" spans="2:14" ht="14.25" thickTop="1" thickBot="1">
      <c r="B91" s="250">
        <v>11305</v>
      </c>
      <c r="C91" s="272" t="s">
        <v>786</v>
      </c>
      <c r="D91" s="413" t="s">
        <v>156</v>
      </c>
      <c r="E91" s="413" t="s">
        <v>156</v>
      </c>
      <c r="F91" s="413" t="s">
        <v>156</v>
      </c>
      <c r="G91" s="413">
        <v>2</v>
      </c>
      <c r="H91" s="413" t="s">
        <v>156</v>
      </c>
      <c r="I91" s="413">
        <v>1</v>
      </c>
      <c r="J91" s="413" t="s">
        <v>156</v>
      </c>
      <c r="K91" s="413" t="s">
        <v>156</v>
      </c>
      <c r="L91" s="413" t="s">
        <v>156</v>
      </c>
      <c r="M91" s="413">
        <f t="shared" si="2"/>
        <v>3</v>
      </c>
      <c r="N91" s="363">
        <f t="shared" si="3"/>
        <v>3.1309684085287577E-5</v>
      </c>
    </row>
    <row r="92" spans="2:14" ht="14.25" thickTop="1" thickBot="1">
      <c r="B92" s="250">
        <v>11401</v>
      </c>
      <c r="C92" s="272" t="s">
        <v>787</v>
      </c>
      <c r="D92" s="413" t="s">
        <v>156</v>
      </c>
      <c r="E92" s="413">
        <v>4</v>
      </c>
      <c r="F92" s="413">
        <v>2</v>
      </c>
      <c r="G92" s="413">
        <v>2</v>
      </c>
      <c r="H92" s="413">
        <v>1</v>
      </c>
      <c r="I92" s="413">
        <v>1</v>
      </c>
      <c r="J92" s="413">
        <v>3</v>
      </c>
      <c r="K92" s="413">
        <v>3</v>
      </c>
      <c r="L92" s="413">
        <v>2</v>
      </c>
      <c r="M92" s="413">
        <f t="shared" si="2"/>
        <v>18</v>
      </c>
      <c r="N92" s="363">
        <f t="shared" si="3"/>
        <v>1.8785810451172548E-4</v>
      </c>
    </row>
    <row r="93" spans="2:14" ht="14.25" thickTop="1" thickBot="1">
      <c r="B93" s="250">
        <v>11402</v>
      </c>
      <c r="C93" s="272" t="s">
        <v>788</v>
      </c>
      <c r="D93" s="413">
        <v>2</v>
      </c>
      <c r="E93" s="413" t="s">
        <v>156</v>
      </c>
      <c r="F93" s="413">
        <v>1</v>
      </c>
      <c r="G93" s="413" t="s">
        <v>156</v>
      </c>
      <c r="H93" s="413">
        <v>3</v>
      </c>
      <c r="I93" s="413">
        <v>1</v>
      </c>
      <c r="J93" s="413">
        <v>2</v>
      </c>
      <c r="K93" s="413" t="s">
        <v>156</v>
      </c>
      <c r="L93" s="413">
        <v>1</v>
      </c>
      <c r="M93" s="413">
        <f t="shared" si="2"/>
        <v>10</v>
      </c>
      <c r="N93" s="363">
        <f t="shared" si="3"/>
        <v>1.0436561361762527E-4</v>
      </c>
    </row>
    <row r="94" spans="2:14" ht="14.25" thickTop="1" thickBot="1">
      <c r="B94" s="250">
        <v>11403</v>
      </c>
      <c r="C94" s="272" t="s">
        <v>789</v>
      </c>
      <c r="D94" s="413">
        <v>30</v>
      </c>
      <c r="E94" s="413">
        <v>9</v>
      </c>
      <c r="F94" s="413">
        <v>19</v>
      </c>
      <c r="G94" s="413">
        <v>13</v>
      </c>
      <c r="H94" s="413">
        <v>7</v>
      </c>
      <c r="I94" s="413">
        <v>12</v>
      </c>
      <c r="J94" s="413">
        <v>34</v>
      </c>
      <c r="K94" s="413">
        <v>7</v>
      </c>
      <c r="L94" s="413">
        <v>6</v>
      </c>
      <c r="M94" s="413">
        <f t="shared" si="2"/>
        <v>137</v>
      </c>
      <c r="N94" s="363">
        <f t="shared" si="3"/>
        <v>1.4298089065614662E-3</v>
      </c>
    </row>
    <row r="95" spans="2:14" ht="14.25" thickTop="1" thickBot="1">
      <c r="B95" s="250">
        <v>11501</v>
      </c>
      <c r="C95" s="272" t="s">
        <v>790</v>
      </c>
      <c r="D95" s="413">
        <v>2</v>
      </c>
      <c r="E95" s="413" t="s">
        <v>156</v>
      </c>
      <c r="F95" s="413">
        <v>2</v>
      </c>
      <c r="G95" s="413" t="s">
        <v>156</v>
      </c>
      <c r="H95" s="413">
        <v>3</v>
      </c>
      <c r="I95" s="413">
        <v>5</v>
      </c>
      <c r="J95" s="413">
        <v>3</v>
      </c>
      <c r="K95" s="413">
        <v>1</v>
      </c>
      <c r="L95" s="413">
        <v>1</v>
      </c>
      <c r="M95" s="413">
        <f t="shared" si="2"/>
        <v>17</v>
      </c>
      <c r="N95" s="363">
        <f t="shared" si="3"/>
        <v>1.7742154314996295E-4</v>
      </c>
    </row>
    <row r="96" spans="2:14" ht="14.25" thickTop="1" thickBot="1">
      <c r="B96" s="250">
        <v>11502</v>
      </c>
      <c r="C96" s="272" t="s">
        <v>791</v>
      </c>
      <c r="D96" s="413" t="s">
        <v>156</v>
      </c>
      <c r="E96" s="413" t="s">
        <v>156</v>
      </c>
      <c r="F96" s="413">
        <v>1</v>
      </c>
      <c r="G96" s="413" t="s">
        <v>156</v>
      </c>
      <c r="H96" s="413">
        <v>1</v>
      </c>
      <c r="I96" s="413">
        <v>1</v>
      </c>
      <c r="J96" s="413">
        <v>2</v>
      </c>
      <c r="K96" s="413">
        <v>2</v>
      </c>
      <c r="L96" s="413" t="s">
        <v>156</v>
      </c>
      <c r="M96" s="413">
        <f t="shared" si="2"/>
        <v>7</v>
      </c>
      <c r="N96" s="363">
        <f t="shared" si="3"/>
        <v>7.3055929532337682E-5</v>
      </c>
    </row>
    <row r="97" spans="2:14" ht="14.25" thickTop="1" thickBot="1">
      <c r="B97" s="250">
        <v>11503</v>
      </c>
      <c r="C97" s="272" t="s">
        <v>792</v>
      </c>
      <c r="D97" s="413" t="s">
        <v>156</v>
      </c>
      <c r="E97" s="413">
        <v>1</v>
      </c>
      <c r="F97" s="413" t="s">
        <v>156</v>
      </c>
      <c r="G97" s="413" t="s">
        <v>156</v>
      </c>
      <c r="H97" s="413" t="s">
        <v>156</v>
      </c>
      <c r="I97" s="413" t="s">
        <v>156</v>
      </c>
      <c r="J97" s="413" t="s">
        <v>156</v>
      </c>
      <c r="K97" s="413" t="s">
        <v>156</v>
      </c>
      <c r="L97" s="413" t="s">
        <v>156</v>
      </c>
      <c r="M97" s="413">
        <f t="shared" si="2"/>
        <v>1</v>
      </c>
      <c r="N97" s="363">
        <f t="shared" si="3"/>
        <v>1.0436561361762526E-5</v>
      </c>
    </row>
    <row r="98" spans="2:14" ht="14.25" thickTop="1" thickBot="1">
      <c r="B98" s="250">
        <v>11504</v>
      </c>
      <c r="C98" s="272" t="s">
        <v>18</v>
      </c>
      <c r="D98" s="413">
        <v>4</v>
      </c>
      <c r="E98" s="413">
        <v>1</v>
      </c>
      <c r="F98" s="413">
        <v>1</v>
      </c>
      <c r="G98" s="413" t="s">
        <v>156</v>
      </c>
      <c r="H98" s="413">
        <v>1</v>
      </c>
      <c r="I98" s="413">
        <v>2</v>
      </c>
      <c r="J98" s="413">
        <v>1</v>
      </c>
      <c r="K98" s="413" t="s">
        <v>156</v>
      </c>
      <c r="L98" s="413">
        <v>1</v>
      </c>
      <c r="M98" s="413">
        <f t="shared" si="2"/>
        <v>11</v>
      </c>
      <c r="N98" s="363">
        <f t="shared" si="3"/>
        <v>1.1480217497938779E-4</v>
      </c>
    </row>
    <row r="99" spans="2:14" ht="14.25" thickTop="1" thickBot="1">
      <c r="B99" s="250">
        <v>11601</v>
      </c>
      <c r="C99" s="272" t="s">
        <v>64</v>
      </c>
      <c r="D99" s="413">
        <v>15</v>
      </c>
      <c r="E99" s="413">
        <v>11</v>
      </c>
      <c r="F99" s="413">
        <v>2</v>
      </c>
      <c r="G99" s="413">
        <v>6</v>
      </c>
      <c r="H99" s="413">
        <v>6</v>
      </c>
      <c r="I99" s="413">
        <v>8</v>
      </c>
      <c r="J99" s="413">
        <v>3</v>
      </c>
      <c r="K99" s="413">
        <v>15</v>
      </c>
      <c r="L99" s="413">
        <v>51</v>
      </c>
      <c r="M99" s="413">
        <f t="shared" si="2"/>
        <v>117</v>
      </c>
      <c r="N99" s="363">
        <f t="shared" si="3"/>
        <v>1.2210776793262156E-3</v>
      </c>
    </row>
    <row r="100" spans="2:14" ht="14.25" thickTop="1" thickBot="1">
      <c r="B100" s="250">
        <v>11602</v>
      </c>
      <c r="C100" s="272" t="s">
        <v>790</v>
      </c>
      <c r="D100" s="413">
        <v>3</v>
      </c>
      <c r="E100" s="413">
        <v>4</v>
      </c>
      <c r="F100" s="413">
        <v>2</v>
      </c>
      <c r="G100" s="413">
        <v>3</v>
      </c>
      <c r="H100" s="413">
        <v>4</v>
      </c>
      <c r="I100" s="413">
        <v>6</v>
      </c>
      <c r="J100" s="413">
        <v>1</v>
      </c>
      <c r="K100" s="413" t="s">
        <v>156</v>
      </c>
      <c r="L100" s="413">
        <v>6</v>
      </c>
      <c r="M100" s="413">
        <f t="shared" si="2"/>
        <v>29</v>
      </c>
      <c r="N100" s="363">
        <f t="shared" si="3"/>
        <v>3.0266027949111326E-4</v>
      </c>
    </row>
    <row r="101" spans="2:14" ht="14.25" thickTop="1" thickBot="1">
      <c r="B101" s="250">
        <v>11603</v>
      </c>
      <c r="C101" s="272" t="s">
        <v>793</v>
      </c>
      <c r="D101" s="413">
        <v>8</v>
      </c>
      <c r="E101" s="413">
        <v>10</v>
      </c>
      <c r="F101" s="413">
        <v>6</v>
      </c>
      <c r="G101" s="413">
        <v>7</v>
      </c>
      <c r="H101" s="413">
        <v>27</v>
      </c>
      <c r="I101" s="413">
        <v>14</v>
      </c>
      <c r="J101" s="413">
        <v>17</v>
      </c>
      <c r="K101" s="413">
        <v>12</v>
      </c>
      <c r="L101" s="413">
        <v>13</v>
      </c>
      <c r="M101" s="413">
        <f t="shared" si="2"/>
        <v>114</v>
      </c>
      <c r="N101" s="363">
        <f t="shared" si="3"/>
        <v>1.1897679952409281E-3</v>
      </c>
    </row>
    <row r="102" spans="2:14" ht="14.25" thickTop="1" thickBot="1">
      <c r="B102" s="250">
        <v>11604</v>
      </c>
      <c r="C102" s="272" t="s">
        <v>794</v>
      </c>
      <c r="D102" s="413">
        <v>3</v>
      </c>
      <c r="E102" s="413">
        <v>3</v>
      </c>
      <c r="F102" s="413" t="s">
        <v>156</v>
      </c>
      <c r="G102" s="413">
        <v>2</v>
      </c>
      <c r="H102" s="413">
        <v>2</v>
      </c>
      <c r="I102" s="413">
        <v>2</v>
      </c>
      <c r="J102" s="413">
        <v>1</v>
      </c>
      <c r="K102" s="413">
        <v>1</v>
      </c>
      <c r="L102" s="413" t="s">
        <v>156</v>
      </c>
      <c r="M102" s="413">
        <f t="shared" si="2"/>
        <v>14</v>
      </c>
      <c r="N102" s="363">
        <f t="shared" si="3"/>
        <v>1.4611185906467536E-4</v>
      </c>
    </row>
    <row r="103" spans="2:14" ht="14.25" thickTop="1" thickBot="1">
      <c r="B103" s="250">
        <v>11605</v>
      </c>
      <c r="C103" s="272" t="s">
        <v>795</v>
      </c>
      <c r="D103" s="413">
        <v>4</v>
      </c>
      <c r="E103" s="413">
        <v>8</v>
      </c>
      <c r="F103" s="413">
        <v>3</v>
      </c>
      <c r="G103" s="413">
        <v>4</v>
      </c>
      <c r="H103" s="413">
        <v>20</v>
      </c>
      <c r="I103" s="413">
        <v>12</v>
      </c>
      <c r="J103" s="413">
        <v>4</v>
      </c>
      <c r="K103" s="413">
        <v>12</v>
      </c>
      <c r="L103" s="413">
        <v>5</v>
      </c>
      <c r="M103" s="413">
        <f t="shared" si="2"/>
        <v>72</v>
      </c>
      <c r="N103" s="363">
        <f t="shared" si="3"/>
        <v>7.514324180469019E-4</v>
      </c>
    </row>
    <row r="104" spans="2:14" ht="14.25" thickTop="1" thickBot="1">
      <c r="B104" s="250">
        <v>11701</v>
      </c>
      <c r="C104" s="272" t="s">
        <v>796</v>
      </c>
      <c r="D104" s="413">
        <v>15</v>
      </c>
      <c r="E104" s="413">
        <v>5</v>
      </c>
      <c r="F104" s="413">
        <v>6</v>
      </c>
      <c r="G104" s="413">
        <v>7</v>
      </c>
      <c r="H104" s="413">
        <v>25</v>
      </c>
      <c r="I104" s="413">
        <v>30</v>
      </c>
      <c r="J104" s="413">
        <v>21</v>
      </c>
      <c r="K104" s="413">
        <v>10</v>
      </c>
      <c r="L104" s="413">
        <v>17</v>
      </c>
      <c r="M104" s="413">
        <f t="shared" si="2"/>
        <v>136</v>
      </c>
      <c r="N104" s="363">
        <f t="shared" si="3"/>
        <v>1.4193723451997036E-3</v>
      </c>
    </row>
    <row r="105" spans="2:14" ht="14.25" thickTop="1" thickBot="1">
      <c r="B105" s="250">
        <v>11702</v>
      </c>
      <c r="C105" s="272" t="s">
        <v>797</v>
      </c>
      <c r="D105" s="413">
        <v>2</v>
      </c>
      <c r="E105" s="413" t="s">
        <v>156</v>
      </c>
      <c r="F105" s="413">
        <v>2</v>
      </c>
      <c r="G105" s="413">
        <v>2</v>
      </c>
      <c r="H105" s="413">
        <v>2</v>
      </c>
      <c r="I105" s="413" t="s">
        <v>156</v>
      </c>
      <c r="J105" s="413">
        <v>4</v>
      </c>
      <c r="K105" s="413">
        <v>3</v>
      </c>
      <c r="L105" s="413" t="s">
        <v>156</v>
      </c>
      <c r="M105" s="413">
        <f t="shared" si="2"/>
        <v>15</v>
      </c>
      <c r="N105" s="363">
        <f t="shared" si="3"/>
        <v>1.5654842042643789E-4</v>
      </c>
    </row>
    <row r="106" spans="2:14" ht="14.25" thickTop="1" thickBot="1">
      <c r="B106" s="250">
        <v>11703</v>
      </c>
      <c r="C106" s="272" t="s">
        <v>798</v>
      </c>
      <c r="D106" s="413">
        <v>5</v>
      </c>
      <c r="E106" s="413">
        <v>1</v>
      </c>
      <c r="F106" s="413">
        <v>3</v>
      </c>
      <c r="G106" s="413">
        <v>4</v>
      </c>
      <c r="H106" s="413">
        <v>4</v>
      </c>
      <c r="I106" s="413">
        <v>9</v>
      </c>
      <c r="J106" s="413">
        <v>4</v>
      </c>
      <c r="K106" s="413">
        <v>7</v>
      </c>
      <c r="L106" s="413">
        <v>5</v>
      </c>
      <c r="M106" s="413">
        <f t="shared" si="2"/>
        <v>42</v>
      </c>
      <c r="N106" s="363">
        <f t="shared" si="3"/>
        <v>4.3833557719402612E-4</v>
      </c>
    </row>
    <row r="107" spans="2:14" ht="14.25" thickTop="1" thickBot="1">
      <c r="B107" s="250">
        <v>11801</v>
      </c>
      <c r="C107" s="272" t="s">
        <v>28</v>
      </c>
      <c r="D107" s="413">
        <v>2</v>
      </c>
      <c r="E107" s="413">
        <v>3</v>
      </c>
      <c r="F107" s="413">
        <v>2</v>
      </c>
      <c r="G107" s="413">
        <v>4</v>
      </c>
      <c r="H107" s="413">
        <v>6</v>
      </c>
      <c r="I107" s="413" t="s">
        <v>156</v>
      </c>
      <c r="J107" s="413">
        <v>4</v>
      </c>
      <c r="K107" s="413">
        <v>4</v>
      </c>
      <c r="L107" s="413">
        <v>1</v>
      </c>
      <c r="M107" s="413">
        <f t="shared" si="2"/>
        <v>26</v>
      </c>
      <c r="N107" s="363">
        <f t="shared" si="3"/>
        <v>2.7135059540582567E-4</v>
      </c>
    </row>
    <row r="108" spans="2:14" ht="14.25" thickTop="1" thickBot="1">
      <c r="B108" s="250">
        <v>11802</v>
      </c>
      <c r="C108" s="272" t="s">
        <v>799</v>
      </c>
      <c r="D108" s="413">
        <v>9</v>
      </c>
      <c r="E108" s="413">
        <v>9</v>
      </c>
      <c r="F108" s="413">
        <v>20</v>
      </c>
      <c r="G108" s="413">
        <v>12</v>
      </c>
      <c r="H108" s="413">
        <v>5</v>
      </c>
      <c r="I108" s="413">
        <v>6</v>
      </c>
      <c r="J108" s="413">
        <v>4</v>
      </c>
      <c r="K108" s="413">
        <v>3</v>
      </c>
      <c r="L108" s="413">
        <v>2</v>
      </c>
      <c r="M108" s="413">
        <f t="shared" si="2"/>
        <v>70</v>
      </c>
      <c r="N108" s="363">
        <f t="shared" si="3"/>
        <v>7.3055929532337685E-4</v>
      </c>
    </row>
    <row r="109" spans="2:14" ht="14.25" thickTop="1" thickBot="1">
      <c r="B109" s="250">
        <v>11803</v>
      </c>
      <c r="C109" s="272" t="s">
        <v>800</v>
      </c>
      <c r="D109" s="413" t="s">
        <v>156</v>
      </c>
      <c r="E109" s="413" t="s">
        <v>156</v>
      </c>
      <c r="F109" s="413" t="s">
        <v>156</v>
      </c>
      <c r="G109" s="413" t="s">
        <v>156</v>
      </c>
      <c r="H109" s="413" t="s">
        <v>156</v>
      </c>
      <c r="I109" s="413" t="s">
        <v>156</v>
      </c>
      <c r="J109" s="413" t="s">
        <v>156</v>
      </c>
      <c r="K109" s="413" t="s">
        <v>156</v>
      </c>
      <c r="L109" s="413" t="s">
        <v>156</v>
      </c>
      <c r="M109" s="413">
        <f t="shared" si="2"/>
        <v>0</v>
      </c>
      <c r="N109" s="363">
        <f t="shared" si="3"/>
        <v>0</v>
      </c>
    </row>
    <row r="110" spans="2:14" ht="14.25" thickTop="1" thickBot="1">
      <c r="B110" s="250">
        <v>11804</v>
      </c>
      <c r="C110" s="272" t="s">
        <v>801</v>
      </c>
      <c r="D110" s="413">
        <v>4</v>
      </c>
      <c r="E110" s="413">
        <v>4</v>
      </c>
      <c r="F110" s="413">
        <v>3</v>
      </c>
      <c r="G110" s="413">
        <v>5</v>
      </c>
      <c r="H110" s="413">
        <v>1</v>
      </c>
      <c r="I110" s="413">
        <v>1</v>
      </c>
      <c r="J110" s="413">
        <v>2</v>
      </c>
      <c r="K110" s="413">
        <v>4</v>
      </c>
      <c r="L110" s="413" t="s">
        <v>156</v>
      </c>
      <c r="M110" s="413">
        <f t="shared" si="2"/>
        <v>24</v>
      </c>
      <c r="N110" s="363">
        <f t="shared" si="3"/>
        <v>2.5047747268230062E-4</v>
      </c>
    </row>
    <row r="111" spans="2:14" ht="14.25" thickTop="1" thickBot="1">
      <c r="B111" s="250">
        <v>11901</v>
      </c>
      <c r="C111" s="272" t="s">
        <v>802</v>
      </c>
      <c r="D111" s="413">
        <v>146</v>
      </c>
      <c r="E111" s="413">
        <v>155</v>
      </c>
      <c r="F111" s="413">
        <v>169</v>
      </c>
      <c r="G111" s="413">
        <v>157</v>
      </c>
      <c r="H111" s="413">
        <v>153</v>
      </c>
      <c r="I111" s="413">
        <v>176</v>
      </c>
      <c r="J111" s="413">
        <v>276</v>
      </c>
      <c r="K111" s="413">
        <v>272</v>
      </c>
      <c r="L111" s="413">
        <v>246</v>
      </c>
      <c r="M111" s="413">
        <f t="shared" si="2"/>
        <v>1750</v>
      </c>
      <c r="N111" s="363">
        <f t="shared" si="3"/>
        <v>1.826398238308442E-2</v>
      </c>
    </row>
    <row r="112" spans="2:14" ht="14.25" thickTop="1" thickBot="1">
      <c r="B112" s="250">
        <v>11902</v>
      </c>
      <c r="C112" s="272" t="s">
        <v>803</v>
      </c>
      <c r="D112" s="413">
        <v>40</v>
      </c>
      <c r="E112" s="413">
        <v>39</v>
      </c>
      <c r="F112" s="413">
        <v>32</v>
      </c>
      <c r="G112" s="413">
        <v>36</v>
      </c>
      <c r="H112" s="413">
        <v>36</v>
      </c>
      <c r="I112" s="413">
        <v>55</v>
      </c>
      <c r="J112" s="413">
        <v>54</v>
      </c>
      <c r="K112" s="413">
        <v>57</v>
      </c>
      <c r="L112" s="413">
        <v>34</v>
      </c>
      <c r="M112" s="413">
        <f t="shared" si="2"/>
        <v>383</v>
      </c>
      <c r="N112" s="363">
        <f t="shared" si="3"/>
        <v>3.9972030015550473E-3</v>
      </c>
    </row>
    <row r="113" spans="2:14" ht="14.25" thickTop="1" thickBot="1">
      <c r="B113" s="250">
        <v>11903</v>
      </c>
      <c r="C113" s="272" t="s">
        <v>804</v>
      </c>
      <c r="D113" s="413">
        <v>140</v>
      </c>
      <c r="E113" s="413">
        <v>122</v>
      </c>
      <c r="F113" s="413">
        <v>139</v>
      </c>
      <c r="G113" s="413">
        <v>127</v>
      </c>
      <c r="H113" s="413">
        <v>135</v>
      </c>
      <c r="I113" s="413">
        <v>177</v>
      </c>
      <c r="J113" s="413">
        <v>204</v>
      </c>
      <c r="K113" s="413">
        <v>190</v>
      </c>
      <c r="L113" s="413">
        <v>196</v>
      </c>
      <c r="M113" s="413">
        <f t="shared" si="2"/>
        <v>1430</v>
      </c>
      <c r="N113" s="363">
        <f t="shared" si="3"/>
        <v>1.4924282747320413E-2</v>
      </c>
    </row>
    <row r="114" spans="2:14" ht="14.25" thickTop="1" thickBot="1">
      <c r="B114" s="250">
        <v>11904</v>
      </c>
      <c r="C114" s="272" t="s">
        <v>805</v>
      </c>
      <c r="D114" s="413">
        <v>22</v>
      </c>
      <c r="E114" s="413">
        <v>26</v>
      </c>
      <c r="F114" s="413">
        <v>33</v>
      </c>
      <c r="G114" s="413">
        <v>37</v>
      </c>
      <c r="H114" s="413">
        <v>33</v>
      </c>
      <c r="I114" s="413">
        <v>37</v>
      </c>
      <c r="J114" s="413">
        <v>57</v>
      </c>
      <c r="K114" s="413">
        <v>51</v>
      </c>
      <c r="L114" s="413">
        <v>46</v>
      </c>
      <c r="M114" s="413">
        <f t="shared" si="2"/>
        <v>342</v>
      </c>
      <c r="N114" s="363">
        <f t="shared" si="3"/>
        <v>3.569303985722784E-3</v>
      </c>
    </row>
    <row r="115" spans="2:14" ht="14.25" thickTop="1" thickBot="1">
      <c r="B115" s="250">
        <v>11905</v>
      </c>
      <c r="C115" s="272" t="s">
        <v>790</v>
      </c>
      <c r="D115" s="413">
        <v>69</v>
      </c>
      <c r="E115" s="413">
        <v>64</v>
      </c>
      <c r="F115" s="413">
        <v>72</v>
      </c>
      <c r="G115" s="413">
        <v>96</v>
      </c>
      <c r="H115" s="413">
        <v>88</v>
      </c>
      <c r="I115" s="413">
        <v>93</v>
      </c>
      <c r="J115" s="413">
        <v>118</v>
      </c>
      <c r="K115" s="413">
        <v>106</v>
      </c>
      <c r="L115" s="413">
        <v>114</v>
      </c>
      <c r="M115" s="413">
        <f t="shared" si="2"/>
        <v>820</v>
      </c>
      <c r="N115" s="363">
        <f t="shared" si="3"/>
        <v>8.5579803166452723E-3</v>
      </c>
    </row>
    <row r="116" spans="2:14" ht="14.25" thickTop="1" thickBot="1">
      <c r="B116" s="250">
        <v>11906</v>
      </c>
      <c r="C116" s="272" t="s">
        <v>806</v>
      </c>
      <c r="D116" s="413">
        <v>52</v>
      </c>
      <c r="E116" s="413">
        <v>75</v>
      </c>
      <c r="F116" s="413">
        <v>51</v>
      </c>
      <c r="G116" s="413">
        <v>54</v>
      </c>
      <c r="H116" s="413">
        <v>35</v>
      </c>
      <c r="I116" s="413">
        <v>54</v>
      </c>
      <c r="J116" s="413">
        <v>81</v>
      </c>
      <c r="K116" s="413">
        <v>74</v>
      </c>
      <c r="L116" s="413">
        <v>36</v>
      </c>
      <c r="M116" s="413">
        <f t="shared" si="2"/>
        <v>512</v>
      </c>
      <c r="N116" s="363">
        <f t="shared" si="3"/>
        <v>5.3435194172224134E-3</v>
      </c>
    </row>
    <row r="117" spans="2:14" ht="14.25" thickTop="1" thickBot="1">
      <c r="B117" s="250">
        <v>11907</v>
      </c>
      <c r="C117" s="272" t="s">
        <v>807</v>
      </c>
      <c r="D117" s="413">
        <v>83</v>
      </c>
      <c r="E117" s="413">
        <v>77</v>
      </c>
      <c r="F117" s="413">
        <v>77</v>
      </c>
      <c r="G117" s="413">
        <v>82</v>
      </c>
      <c r="H117" s="413">
        <v>71</v>
      </c>
      <c r="I117" s="413">
        <v>70</v>
      </c>
      <c r="J117" s="413">
        <v>94</v>
      </c>
      <c r="K117" s="413">
        <v>81</v>
      </c>
      <c r="L117" s="413">
        <v>42</v>
      </c>
      <c r="M117" s="413">
        <f t="shared" si="2"/>
        <v>677</v>
      </c>
      <c r="N117" s="363">
        <f t="shared" si="3"/>
        <v>7.0655520419132308E-3</v>
      </c>
    </row>
    <row r="118" spans="2:14" ht="14.25" thickTop="1" thickBot="1">
      <c r="B118" s="250">
        <v>11908</v>
      </c>
      <c r="C118" s="272" t="s">
        <v>808</v>
      </c>
      <c r="D118" s="413">
        <v>62</v>
      </c>
      <c r="E118" s="413">
        <v>79</v>
      </c>
      <c r="F118" s="413">
        <v>75</v>
      </c>
      <c r="G118" s="413">
        <v>87</v>
      </c>
      <c r="H118" s="413">
        <v>86</v>
      </c>
      <c r="I118" s="413">
        <v>87</v>
      </c>
      <c r="J118" s="413">
        <v>97</v>
      </c>
      <c r="K118" s="413">
        <v>105</v>
      </c>
      <c r="L118" s="413">
        <v>89</v>
      </c>
      <c r="M118" s="413">
        <f t="shared" si="2"/>
        <v>767</v>
      </c>
      <c r="N118" s="363">
        <f t="shared" si="3"/>
        <v>8.004842564471858E-3</v>
      </c>
    </row>
    <row r="119" spans="2:14" ht="14.25" thickTop="1" thickBot="1">
      <c r="B119" s="250">
        <v>11909</v>
      </c>
      <c r="C119" s="272" t="s">
        <v>809</v>
      </c>
      <c r="D119" s="413">
        <v>9</v>
      </c>
      <c r="E119" s="413">
        <v>10</v>
      </c>
      <c r="F119" s="413">
        <v>12</v>
      </c>
      <c r="G119" s="413">
        <v>15</v>
      </c>
      <c r="H119" s="413">
        <v>7</v>
      </c>
      <c r="I119" s="413">
        <v>29</v>
      </c>
      <c r="J119" s="413">
        <v>23</v>
      </c>
      <c r="K119" s="413">
        <v>35</v>
      </c>
      <c r="L119" s="413">
        <v>28</v>
      </c>
      <c r="M119" s="413">
        <f t="shared" si="2"/>
        <v>168</v>
      </c>
      <c r="N119" s="363">
        <f t="shared" si="3"/>
        <v>1.7533423087761045E-3</v>
      </c>
    </row>
    <row r="120" spans="2:14" ht="14.25" thickTop="1" thickBot="1">
      <c r="B120" s="250">
        <v>11910</v>
      </c>
      <c r="C120" s="272" t="s">
        <v>810</v>
      </c>
      <c r="D120" s="413">
        <v>13</v>
      </c>
      <c r="E120" s="413">
        <v>16</v>
      </c>
      <c r="F120" s="413">
        <v>8</v>
      </c>
      <c r="G120" s="413">
        <v>14</v>
      </c>
      <c r="H120" s="413">
        <v>14</v>
      </c>
      <c r="I120" s="413">
        <v>29</v>
      </c>
      <c r="J120" s="413">
        <v>31</v>
      </c>
      <c r="K120" s="413">
        <v>37</v>
      </c>
      <c r="L120" s="413">
        <v>39</v>
      </c>
      <c r="M120" s="413">
        <f t="shared" si="2"/>
        <v>201</v>
      </c>
      <c r="N120" s="363">
        <f t="shared" si="3"/>
        <v>2.0977488337142677E-3</v>
      </c>
    </row>
    <row r="121" spans="2:14" ht="14.25" thickTop="1" thickBot="1">
      <c r="B121" s="250">
        <v>11911</v>
      </c>
      <c r="C121" s="272" t="s">
        <v>811</v>
      </c>
      <c r="D121" s="413">
        <v>10</v>
      </c>
      <c r="E121" s="413">
        <v>16</v>
      </c>
      <c r="F121" s="413">
        <v>18</v>
      </c>
      <c r="G121" s="413">
        <v>14</v>
      </c>
      <c r="H121" s="413">
        <v>23</v>
      </c>
      <c r="I121" s="413">
        <v>26</v>
      </c>
      <c r="J121" s="413">
        <v>35</v>
      </c>
      <c r="K121" s="413">
        <v>33</v>
      </c>
      <c r="L121" s="413">
        <v>21</v>
      </c>
      <c r="M121" s="413">
        <f t="shared" si="2"/>
        <v>196</v>
      </c>
      <c r="N121" s="363">
        <f t="shared" si="3"/>
        <v>2.0455660269054553E-3</v>
      </c>
    </row>
    <row r="122" spans="2:14" ht="14.25" thickTop="1" thickBot="1">
      <c r="B122" s="250">
        <v>11912</v>
      </c>
      <c r="C122" s="272" t="s">
        <v>812</v>
      </c>
      <c r="D122" s="413" t="s">
        <v>156</v>
      </c>
      <c r="E122" s="413" t="s">
        <v>156</v>
      </c>
      <c r="F122" s="413" t="s">
        <v>156</v>
      </c>
      <c r="G122" s="413" t="s">
        <v>156</v>
      </c>
      <c r="H122" s="413" t="s">
        <v>156</v>
      </c>
      <c r="I122" s="413" t="s">
        <v>156</v>
      </c>
      <c r="J122" s="413" t="s">
        <v>156</v>
      </c>
      <c r="K122" s="413" t="s">
        <v>156</v>
      </c>
      <c r="L122" s="413">
        <v>11</v>
      </c>
      <c r="M122" s="413">
        <f t="shared" si="2"/>
        <v>11</v>
      </c>
      <c r="N122" s="363">
        <f t="shared" si="3"/>
        <v>1.1480217497938779E-4</v>
      </c>
    </row>
    <row r="123" spans="2:14" ht="14.25" thickTop="1" thickBot="1">
      <c r="B123" s="250">
        <v>12001</v>
      </c>
      <c r="C123" s="272" t="s">
        <v>64</v>
      </c>
      <c r="D123" s="413">
        <v>11</v>
      </c>
      <c r="E123" s="413">
        <v>4</v>
      </c>
      <c r="F123" s="413">
        <v>7</v>
      </c>
      <c r="G123" s="413">
        <v>12</v>
      </c>
      <c r="H123" s="413">
        <v>15</v>
      </c>
      <c r="I123" s="413">
        <v>14</v>
      </c>
      <c r="J123" s="413">
        <v>12</v>
      </c>
      <c r="K123" s="413">
        <v>5</v>
      </c>
      <c r="L123" s="413">
        <v>5</v>
      </c>
      <c r="M123" s="413">
        <f t="shared" si="2"/>
        <v>85</v>
      </c>
      <c r="N123" s="363">
        <f t="shared" si="3"/>
        <v>8.8710771574981471E-4</v>
      </c>
    </row>
    <row r="124" spans="2:14" ht="14.25" thickTop="1" thickBot="1">
      <c r="B124" s="250">
        <v>12002</v>
      </c>
      <c r="C124" s="272" t="s">
        <v>813</v>
      </c>
      <c r="D124" s="413">
        <v>14</v>
      </c>
      <c r="E124" s="413">
        <v>7</v>
      </c>
      <c r="F124" s="413">
        <v>10</v>
      </c>
      <c r="G124" s="413">
        <v>10</v>
      </c>
      <c r="H124" s="413">
        <v>11</v>
      </c>
      <c r="I124" s="413">
        <v>13</v>
      </c>
      <c r="J124" s="413">
        <v>7</v>
      </c>
      <c r="K124" s="413">
        <v>14</v>
      </c>
      <c r="L124" s="413">
        <v>14</v>
      </c>
      <c r="M124" s="413">
        <f t="shared" si="2"/>
        <v>100</v>
      </c>
      <c r="N124" s="363">
        <f t="shared" si="3"/>
        <v>1.0436561361762526E-3</v>
      </c>
    </row>
    <row r="125" spans="2:14" ht="14.25" thickTop="1" thickBot="1">
      <c r="B125" s="250">
        <v>12003</v>
      </c>
      <c r="C125" s="272" t="s">
        <v>814</v>
      </c>
      <c r="D125" s="413">
        <v>9</v>
      </c>
      <c r="E125" s="413">
        <v>5</v>
      </c>
      <c r="F125" s="413">
        <v>2</v>
      </c>
      <c r="G125" s="413">
        <v>5</v>
      </c>
      <c r="H125" s="413">
        <v>4</v>
      </c>
      <c r="I125" s="413">
        <v>5</v>
      </c>
      <c r="J125" s="413">
        <v>2</v>
      </c>
      <c r="K125" s="413">
        <v>4</v>
      </c>
      <c r="L125" s="413">
        <v>8</v>
      </c>
      <c r="M125" s="413">
        <f t="shared" si="2"/>
        <v>44</v>
      </c>
      <c r="N125" s="363">
        <f t="shared" si="3"/>
        <v>4.5920869991755117E-4</v>
      </c>
    </row>
    <row r="126" spans="2:14" ht="14.25" thickTop="1" thickBot="1">
      <c r="B126" s="250">
        <v>12004</v>
      </c>
      <c r="C126" s="272" t="s">
        <v>63</v>
      </c>
      <c r="D126" s="413">
        <v>9</v>
      </c>
      <c r="E126" s="413">
        <v>4</v>
      </c>
      <c r="F126" s="413">
        <v>1</v>
      </c>
      <c r="G126" s="413">
        <v>10</v>
      </c>
      <c r="H126" s="413">
        <v>10</v>
      </c>
      <c r="I126" s="413">
        <v>9</v>
      </c>
      <c r="J126" s="413">
        <v>1</v>
      </c>
      <c r="K126" s="413">
        <v>2</v>
      </c>
      <c r="L126" s="413">
        <v>4</v>
      </c>
      <c r="M126" s="413">
        <f t="shared" si="2"/>
        <v>50</v>
      </c>
      <c r="N126" s="363">
        <f t="shared" si="3"/>
        <v>5.2182806808812629E-4</v>
      </c>
    </row>
    <row r="127" spans="2:14" ht="14.25" thickTop="1" thickBot="1">
      <c r="B127" s="250">
        <v>12005</v>
      </c>
      <c r="C127" s="272" t="s">
        <v>68</v>
      </c>
      <c r="D127" s="413">
        <v>4</v>
      </c>
      <c r="E127" s="413">
        <v>2</v>
      </c>
      <c r="F127" s="413">
        <v>7</v>
      </c>
      <c r="G127" s="413">
        <v>8</v>
      </c>
      <c r="H127" s="413">
        <v>6</v>
      </c>
      <c r="I127" s="413">
        <v>7</v>
      </c>
      <c r="J127" s="413">
        <v>6</v>
      </c>
      <c r="K127" s="413">
        <v>7</v>
      </c>
      <c r="L127" s="413">
        <v>2</v>
      </c>
      <c r="M127" s="413">
        <f t="shared" si="2"/>
        <v>49</v>
      </c>
      <c r="N127" s="363">
        <f t="shared" si="3"/>
        <v>5.1139150672636381E-4</v>
      </c>
    </row>
    <row r="128" spans="2:14" ht="14.25" thickTop="1" thickBot="1">
      <c r="B128" s="250">
        <v>12006</v>
      </c>
      <c r="C128" s="272" t="s">
        <v>726</v>
      </c>
      <c r="D128" s="413">
        <v>3</v>
      </c>
      <c r="E128" s="413">
        <v>4</v>
      </c>
      <c r="F128" s="413">
        <v>5</v>
      </c>
      <c r="G128" s="413">
        <v>1</v>
      </c>
      <c r="H128" s="413">
        <v>2</v>
      </c>
      <c r="I128" s="413">
        <v>4</v>
      </c>
      <c r="J128" s="413">
        <v>7</v>
      </c>
      <c r="K128" s="413">
        <v>6</v>
      </c>
      <c r="L128" s="413">
        <v>2</v>
      </c>
      <c r="M128" s="413">
        <f t="shared" si="2"/>
        <v>34</v>
      </c>
      <c r="N128" s="363">
        <f t="shared" si="3"/>
        <v>3.548430862999259E-4</v>
      </c>
    </row>
    <row r="129" spans="2:14" ht="14.25" thickTop="1" thickBot="1">
      <c r="B129" s="250">
        <v>20101</v>
      </c>
      <c r="C129" s="272" t="s">
        <v>29</v>
      </c>
      <c r="D129" s="413">
        <v>19</v>
      </c>
      <c r="E129" s="413">
        <v>13</v>
      </c>
      <c r="F129" s="413">
        <v>11</v>
      </c>
      <c r="G129" s="413">
        <v>22</v>
      </c>
      <c r="H129" s="413">
        <v>7</v>
      </c>
      <c r="I129" s="413">
        <v>5</v>
      </c>
      <c r="J129" s="413">
        <v>7</v>
      </c>
      <c r="K129" s="413">
        <v>3</v>
      </c>
      <c r="L129" s="413">
        <v>4</v>
      </c>
      <c r="M129" s="413">
        <f t="shared" si="2"/>
        <v>91</v>
      </c>
      <c r="N129" s="363">
        <f t="shared" si="3"/>
        <v>9.4972708392038988E-4</v>
      </c>
    </row>
    <row r="130" spans="2:14" ht="14.25" thickTop="1" thickBot="1">
      <c r="B130" s="250">
        <v>20102</v>
      </c>
      <c r="C130" s="272" t="s">
        <v>16</v>
      </c>
      <c r="D130" s="413">
        <v>12</v>
      </c>
      <c r="E130" s="413">
        <v>13</v>
      </c>
      <c r="F130" s="413">
        <v>19</v>
      </c>
      <c r="G130" s="413">
        <v>17</v>
      </c>
      <c r="H130" s="413">
        <v>10</v>
      </c>
      <c r="I130" s="413">
        <v>8</v>
      </c>
      <c r="J130" s="413">
        <v>10</v>
      </c>
      <c r="K130" s="413">
        <v>9</v>
      </c>
      <c r="L130" s="413">
        <v>3</v>
      </c>
      <c r="M130" s="413">
        <f t="shared" si="2"/>
        <v>101</v>
      </c>
      <c r="N130" s="363">
        <f t="shared" si="3"/>
        <v>1.0540926975380152E-3</v>
      </c>
    </row>
    <row r="131" spans="2:14" ht="14.25" thickTop="1" thickBot="1">
      <c r="B131" s="250">
        <v>20103</v>
      </c>
      <c r="C131" s="272" t="s">
        <v>815</v>
      </c>
      <c r="D131" s="413">
        <v>4</v>
      </c>
      <c r="E131" s="413">
        <v>3</v>
      </c>
      <c r="F131" s="413">
        <v>5</v>
      </c>
      <c r="G131" s="413">
        <v>2</v>
      </c>
      <c r="H131" s="413">
        <v>92</v>
      </c>
      <c r="I131" s="413">
        <v>3</v>
      </c>
      <c r="J131" s="413" t="s">
        <v>156</v>
      </c>
      <c r="K131" s="413" t="s">
        <v>156</v>
      </c>
      <c r="L131" s="413">
        <v>3</v>
      </c>
      <c r="M131" s="413">
        <f t="shared" si="2"/>
        <v>112</v>
      </c>
      <c r="N131" s="363">
        <f t="shared" si="3"/>
        <v>1.1688948725174029E-3</v>
      </c>
    </row>
    <row r="132" spans="2:14" ht="14.25" thickTop="1" thickBot="1">
      <c r="B132" s="250">
        <v>20104</v>
      </c>
      <c r="C132" s="272" t="s">
        <v>726</v>
      </c>
      <c r="D132" s="413">
        <v>7</v>
      </c>
      <c r="E132" s="413">
        <v>6</v>
      </c>
      <c r="F132" s="413">
        <v>10</v>
      </c>
      <c r="G132" s="413">
        <v>13</v>
      </c>
      <c r="H132" s="413">
        <v>7</v>
      </c>
      <c r="I132" s="413">
        <v>7</v>
      </c>
      <c r="J132" s="413">
        <v>3</v>
      </c>
      <c r="K132" s="413">
        <v>5</v>
      </c>
      <c r="L132" s="413" t="s">
        <v>156</v>
      </c>
      <c r="M132" s="413">
        <f t="shared" si="2"/>
        <v>58</v>
      </c>
      <c r="N132" s="363">
        <f t="shared" si="3"/>
        <v>6.0532055898222651E-4</v>
      </c>
    </row>
    <row r="133" spans="2:14" ht="14.25" thickTop="1" thickBot="1">
      <c r="B133" s="250">
        <v>20105</v>
      </c>
      <c r="C133" s="272" t="s">
        <v>816</v>
      </c>
      <c r="D133" s="413">
        <v>12</v>
      </c>
      <c r="E133" s="413">
        <v>13</v>
      </c>
      <c r="F133" s="413">
        <v>3</v>
      </c>
      <c r="G133" s="413">
        <v>9</v>
      </c>
      <c r="H133" s="413">
        <v>29</v>
      </c>
      <c r="I133" s="413">
        <v>8</v>
      </c>
      <c r="J133" s="413">
        <v>5</v>
      </c>
      <c r="K133" s="413">
        <v>6</v>
      </c>
      <c r="L133" s="413">
        <v>7</v>
      </c>
      <c r="M133" s="413">
        <f t="shared" si="2"/>
        <v>92</v>
      </c>
      <c r="N133" s="363">
        <f t="shared" si="3"/>
        <v>9.6016364528215246E-4</v>
      </c>
    </row>
    <row r="134" spans="2:14" ht="14.25" thickTop="1" thickBot="1">
      <c r="B134" s="250">
        <v>20106</v>
      </c>
      <c r="C134" s="272" t="s">
        <v>63</v>
      </c>
      <c r="D134" s="413">
        <v>3</v>
      </c>
      <c r="E134" s="413">
        <v>5</v>
      </c>
      <c r="F134" s="413">
        <v>4</v>
      </c>
      <c r="G134" s="413">
        <v>6</v>
      </c>
      <c r="H134" s="413">
        <v>4</v>
      </c>
      <c r="I134" s="413">
        <v>4</v>
      </c>
      <c r="J134" s="413">
        <v>3</v>
      </c>
      <c r="K134" s="413">
        <v>4</v>
      </c>
      <c r="L134" s="413">
        <v>5</v>
      </c>
      <c r="M134" s="413">
        <f t="shared" ref="M134:M197" si="4">SUM(D134:L134)</f>
        <v>38</v>
      </c>
      <c r="N134" s="363">
        <f t="shared" si="3"/>
        <v>3.9658933174697601E-4</v>
      </c>
    </row>
    <row r="135" spans="2:14" ht="14.25" thickTop="1" thickBot="1">
      <c r="B135" s="250">
        <v>20107</v>
      </c>
      <c r="C135" s="272" t="s">
        <v>791</v>
      </c>
      <c r="D135" s="413">
        <v>19</v>
      </c>
      <c r="E135" s="413">
        <v>10</v>
      </c>
      <c r="F135" s="413">
        <v>2</v>
      </c>
      <c r="G135" s="413">
        <v>4</v>
      </c>
      <c r="H135" s="413">
        <v>1</v>
      </c>
      <c r="I135" s="413" t="s">
        <v>156</v>
      </c>
      <c r="J135" s="413">
        <v>3</v>
      </c>
      <c r="K135" s="413">
        <v>2</v>
      </c>
      <c r="L135" s="413">
        <v>2</v>
      </c>
      <c r="M135" s="413">
        <f t="shared" si="4"/>
        <v>43</v>
      </c>
      <c r="N135" s="363">
        <f t="shared" ref="N135:N198" si="5">+M135/$M$491</f>
        <v>4.4877213855578865E-4</v>
      </c>
    </row>
    <row r="136" spans="2:14" ht="14.25" thickTop="1" thickBot="1">
      <c r="B136" s="250">
        <v>20108</v>
      </c>
      <c r="C136" s="272" t="s">
        <v>18</v>
      </c>
      <c r="D136" s="413">
        <v>6</v>
      </c>
      <c r="E136" s="413">
        <v>4</v>
      </c>
      <c r="F136" s="413">
        <v>20</v>
      </c>
      <c r="G136" s="413">
        <v>7</v>
      </c>
      <c r="H136" s="413">
        <v>2</v>
      </c>
      <c r="I136" s="413">
        <v>4</v>
      </c>
      <c r="J136" s="413">
        <v>1</v>
      </c>
      <c r="K136" s="413">
        <v>1</v>
      </c>
      <c r="L136" s="413">
        <v>2</v>
      </c>
      <c r="M136" s="413">
        <f t="shared" si="4"/>
        <v>47</v>
      </c>
      <c r="N136" s="363">
        <f t="shared" si="5"/>
        <v>4.9051838400283876E-4</v>
      </c>
    </row>
    <row r="137" spans="2:14" ht="14.25" thickTop="1" thickBot="1">
      <c r="B137" s="250">
        <v>20109</v>
      </c>
      <c r="C137" s="272" t="s">
        <v>817</v>
      </c>
      <c r="D137" s="413">
        <v>3</v>
      </c>
      <c r="E137" s="413">
        <v>5</v>
      </c>
      <c r="F137" s="413">
        <v>4</v>
      </c>
      <c r="G137" s="413">
        <v>7</v>
      </c>
      <c r="H137" s="413">
        <v>1</v>
      </c>
      <c r="I137" s="413">
        <v>3</v>
      </c>
      <c r="J137" s="413" t="s">
        <v>156</v>
      </c>
      <c r="K137" s="413" t="s">
        <v>156</v>
      </c>
      <c r="L137" s="413">
        <v>5</v>
      </c>
      <c r="M137" s="413">
        <f t="shared" si="4"/>
        <v>28</v>
      </c>
      <c r="N137" s="363">
        <f t="shared" si="5"/>
        <v>2.9222371812935073E-4</v>
      </c>
    </row>
    <row r="138" spans="2:14" ht="14.25" thickTop="1" thickBot="1">
      <c r="B138" s="250">
        <v>20110</v>
      </c>
      <c r="C138" s="272" t="s">
        <v>19</v>
      </c>
      <c r="D138" s="413">
        <v>9</v>
      </c>
      <c r="E138" s="413">
        <v>8</v>
      </c>
      <c r="F138" s="413">
        <v>10</v>
      </c>
      <c r="G138" s="413">
        <v>3</v>
      </c>
      <c r="H138" s="413">
        <v>3</v>
      </c>
      <c r="I138" s="413">
        <v>6</v>
      </c>
      <c r="J138" s="413">
        <v>3</v>
      </c>
      <c r="K138" s="413">
        <v>1</v>
      </c>
      <c r="L138" s="413">
        <v>3</v>
      </c>
      <c r="M138" s="413">
        <f t="shared" si="4"/>
        <v>46</v>
      </c>
      <c r="N138" s="363">
        <f t="shared" si="5"/>
        <v>4.8008182264107623E-4</v>
      </c>
    </row>
    <row r="139" spans="2:14" ht="14.25" thickTop="1" thickBot="1">
      <c r="B139" s="250">
        <v>20111</v>
      </c>
      <c r="C139" s="272" t="s">
        <v>818</v>
      </c>
      <c r="D139" s="413">
        <v>2</v>
      </c>
      <c r="E139" s="413">
        <v>3</v>
      </c>
      <c r="F139" s="413">
        <v>4</v>
      </c>
      <c r="G139" s="413">
        <v>1</v>
      </c>
      <c r="H139" s="413">
        <v>4</v>
      </c>
      <c r="I139" s="413">
        <v>1</v>
      </c>
      <c r="J139" s="413">
        <v>5</v>
      </c>
      <c r="K139" s="413">
        <v>1</v>
      </c>
      <c r="L139" s="413">
        <v>3</v>
      </c>
      <c r="M139" s="413">
        <f t="shared" si="4"/>
        <v>24</v>
      </c>
      <c r="N139" s="363">
        <f t="shared" si="5"/>
        <v>2.5047747268230062E-4</v>
      </c>
    </row>
    <row r="140" spans="2:14" ht="14.25" thickTop="1" thickBot="1">
      <c r="B140" s="250">
        <v>20112</v>
      </c>
      <c r="C140" s="272" t="s">
        <v>819</v>
      </c>
      <c r="D140" s="413">
        <v>31</v>
      </c>
      <c r="E140" s="413">
        <v>14</v>
      </c>
      <c r="F140" s="413">
        <v>57</v>
      </c>
      <c r="G140" s="413">
        <v>21</v>
      </c>
      <c r="H140" s="413">
        <v>8</v>
      </c>
      <c r="I140" s="413">
        <v>14</v>
      </c>
      <c r="J140" s="413">
        <v>8</v>
      </c>
      <c r="K140" s="413">
        <v>11</v>
      </c>
      <c r="L140" s="413">
        <v>8</v>
      </c>
      <c r="M140" s="413">
        <f t="shared" si="4"/>
        <v>172</v>
      </c>
      <c r="N140" s="363">
        <f t="shared" si="5"/>
        <v>1.7950885542231546E-3</v>
      </c>
    </row>
    <row r="141" spans="2:14" ht="14.25" thickTop="1" thickBot="1">
      <c r="B141" s="250">
        <v>20113</v>
      </c>
      <c r="C141" s="272" t="s">
        <v>820</v>
      </c>
      <c r="D141" s="413">
        <v>3</v>
      </c>
      <c r="E141" s="413" t="s">
        <v>156</v>
      </c>
      <c r="F141" s="413" t="s">
        <v>156</v>
      </c>
      <c r="G141" s="413">
        <v>3</v>
      </c>
      <c r="H141" s="413">
        <v>1</v>
      </c>
      <c r="I141" s="413" t="s">
        <v>156</v>
      </c>
      <c r="J141" s="413" t="s">
        <v>156</v>
      </c>
      <c r="K141" s="413">
        <v>3</v>
      </c>
      <c r="L141" s="413">
        <v>2</v>
      </c>
      <c r="M141" s="413">
        <f t="shared" si="4"/>
        <v>12</v>
      </c>
      <c r="N141" s="363">
        <f t="shared" si="5"/>
        <v>1.2523873634115031E-4</v>
      </c>
    </row>
    <row r="142" spans="2:14" ht="14.25" thickTop="1" thickBot="1">
      <c r="B142" s="250">
        <v>20114</v>
      </c>
      <c r="C142" s="272" t="s">
        <v>65</v>
      </c>
      <c r="D142" s="413">
        <v>10</v>
      </c>
      <c r="E142" s="413">
        <v>7</v>
      </c>
      <c r="F142" s="413">
        <v>16</v>
      </c>
      <c r="G142" s="413">
        <v>8</v>
      </c>
      <c r="H142" s="413">
        <v>14</v>
      </c>
      <c r="I142" s="413">
        <v>11</v>
      </c>
      <c r="J142" s="413">
        <v>11</v>
      </c>
      <c r="K142" s="413">
        <v>7</v>
      </c>
      <c r="L142" s="413">
        <v>7</v>
      </c>
      <c r="M142" s="413">
        <f t="shared" si="4"/>
        <v>91</v>
      </c>
      <c r="N142" s="363">
        <f t="shared" si="5"/>
        <v>9.4972708392038988E-4</v>
      </c>
    </row>
    <row r="143" spans="2:14" ht="14.25" thickTop="1" thickBot="1">
      <c r="B143" s="250">
        <v>20201</v>
      </c>
      <c r="C143" s="272" t="s">
        <v>821</v>
      </c>
      <c r="D143" s="413">
        <v>7</v>
      </c>
      <c r="E143" s="413">
        <v>17</v>
      </c>
      <c r="F143" s="413">
        <v>9</v>
      </c>
      <c r="G143" s="413">
        <v>4</v>
      </c>
      <c r="H143" s="413">
        <v>7</v>
      </c>
      <c r="I143" s="413">
        <v>10</v>
      </c>
      <c r="J143" s="413">
        <v>6</v>
      </c>
      <c r="K143" s="413">
        <v>8</v>
      </c>
      <c r="L143" s="413">
        <v>8</v>
      </c>
      <c r="M143" s="413">
        <f t="shared" si="4"/>
        <v>76</v>
      </c>
      <c r="N143" s="363">
        <f t="shared" si="5"/>
        <v>7.9317866349395201E-4</v>
      </c>
    </row>
    <row r="144" spans="2:14" ht="14.25" thickTop="1" thickBot="1">
      <c r="B144" s="250">
        <v>20202</v>
      </c>
      <c r="C144" s="272" t="s">
        <v>738</v>
      </c>
      <c r="D144" s="413">
        <v>11</v>
      </c>
      <c r="E144" s="413">
        <v>16</v>
      </c>
      <c r="F144" s="413">
        <v>6</v>
      </c>
      <c r="G144" s="413">
        <v>15</v>
      </c>
      <c r="H144" s="413">
        <v>21</v>
      </c>
      <c r="I144" s="413">
        <v>21</v>
      </c>
      <c r="J144" s="413">
        <v>14</v>
      </c>
      <c r="K144" s="413">
        <v>14</v>
      </c>
      <c r="L144" s="413">
        <v>26</v>
      </c>
      <c r="M144" s="413">
        <f t="shared" si="4"/>
        <v>144</v>
      </c>
      <c r="N144" s="363">
        <f t="shared" si="5"/>
        <v>1.5028648360938038E-3</v>
      </c>
    </row>
    <row r="145" spans="2:14" ht="14.25" thickTop="1" thickBot="1">
      <c r="B145" s="250">
        <v>20203</v>
      </c>
      <c r="C145" s="272" t="s">
        <v>782</v>
      </c>
      <c r="D145" s="413">
        <v>34</v>
      </c>
      <c r="E145" s="413">
        <v>155</v>
      </c>
      <c r="F145" s="413">
        <v>33</v>
      </c>
      <c r="G145" s="413">
        <v>20</v>
      </c>
      <c r="H145" s="413">
        <v>38</v>
      </c>
      <c r="I145" s="413">
        <v>41</v>
      </c>
      <c r="J145" s="413">
        <v>39</v>
      </c>
      <c r="K145" s="413">
        <v>17</v>
      </c>
      <c r="L145" s="413">
        <v>33</v>
      </c>
      <c r="M145" s="413">
        <f t="shared" si="4"/>
        <v>410</v>
      </c>
      <c r="N145" s="363">
        <f t="shared" si="5"/>
        <v>4.2789901583226361E-3</v>
      </c>
    </row>
    <row r="146" spans="2:14" ht="14.25" thickTop="1" thickBot="1">
      <c r="B146" s="250">
        <v>20204</v>
      </c>
      <c r="C146" s="272" t="s">
        <v>822</v>
      </c>
      <c r="D146" s="413">
        <v>65</v>
      </c>
      <c r="E146" s="413">
        <v>63</v>
      </c>
      <c r="F146" s="413">
        <v>48</v>
      </c>
      <c r="G146" s="413">
        <v>46</v>
      </c>
      <c r="H146" s="413">
        <v>65</v>
      </c>
      <c r="I146" s="413">
        <v>57</v>
      </c>
      <c r="J146" s="413">
        <v>40</v>
      </c>
      <c r="K146" s="413">
        <v>29</v>
      </c>
      <c r="L146" s="413">
        <v>34</v>
      </c>
      <c r="M146" s="413">
        <f t="shared" si="4"/>
        <v>447</v>
      </c>
      <c r="N146" s="363">
        <f t="shared" si="5"/>
        <v>4.6651429287078491E-3</v>
      </c>
    </row>
    <row r="147" spans="2:14" ht="14.25" thickTop="1" thickBot="1">
      <c r="B147" s="250">
        <v>20205</v>
      </c>
      <c r="C147" s="272" t="s">
        <v>823</v>
      </c>
      <c r="D147" s="413">
        <v>37</v>
      </c>
      <c r="E147" s="413">
        <v>22</v>
      </c>
      <c r="F147" s="413">
        <v>38</v>
      </c>
      <c r="G147" s="413">
        <v>23</v>
      </c>
      <c r="H147" s="413">
        <v>17</v>
      </c>
      <c r="I147" s="413">
        <v>23</v>
      </c>
      <c r="J147" s="413">
        <v>20</v>
      </c>
      <c r="K147" s="413">
        <v>18</v>
      </c>
      <c r="L147" s="413">
        <v>12</v>
      </c>
      <c r="M147" s="413">
        <f t="shared" si="4"/>
        <v>210</v>
      </c>
      <c r="N147" s="363">
        <f t="shared" si="5"/>
        <v>2.1916778859701305E-3</v>
      </c>
    </row>
    <row r="148" spans="2:14" ht="14.25" thickTop="1" thickBot="1">
      <c r="B148" s="250">
        <v>20206</v>
      </c>
      <c r="C148" s="272" t="s">
        <v>18</v>
      </c>
      <c r="D148" s="413">
        <v>36</v>
      </c>
      <c r="E148" s="413">
        <v>47</v>
      </c>
      <c r="F148" s="413">
        <v>22</v>
      </c>
      <c r="G148" s="413">
        <v>29</v>
      </c>
      <c r="H148" s="413">
        <v>32</v>
      </c>
      <c r="I148" s="413">
        <v>27</v>
      </c>
      <c r="J148" s="413">
        <v>31</v>
      </c>
      <c r="K148" s="413">
        <v>18</v>
      </c>
      <c r="L148" s="413">
        <v>16</v>
      </c>
      <c r="M148" s="413">
        <f t="shared" si="4"/>
        <v>258</v>
      </c>
      <c r="N148" s="363">
        <f t="shared" si="5"/>
        <v>2.6926328313347319E-3</v>
      </c>
    </row>
    <row r="149" spans="2:14" ht="14.25" thickTop="1" thickBot="1">
      <c r="B149" s="250">
        <v>20207</v>
      </c>
      <c r="C149" s="272" t="s">
        <v>63</v>
      </c>
      <c r="D149" s="413">
        <v>12</v>
      </c>
      <c r="E149" s="413">
        <v>17</v>
      </c>
      <c r="F149" s="413">
        <v>19</v>
      </c>
      <c r="G149" s="413">
        <v>17</v>
      </c>
      <c r="H149" s="413">
        <v>17</v>
      </c>
      <c r="I149" s="413">
        <v>23</v>
      </c>
      <c r="J149" s="413">
        <v>12</v>
      </c>
      <c r="K149" s="413">
        <v>9</v>
      </c>
      <c r="L149" s="413">
        <v>16</v>
      </c>
      <c r="M149" s="413">
        <f t="shared" si="4"/>
        <v>142</v>
      </c>
      <c r="N149" s="363">
        <f t="shared" si="5"/>
        <v>1.4819917133702789E-3</v>
      </c>
    </row>
    <row r="150" spans="2:14" ht="14.25" thickTop="1" thickBot="1">
      <c r="B150" s="250">
        <v>20208</v>
      </c>
      <c r="C150" s="272" t="s">
        <v>824</v>
      </c>
      <c r="D150" s="413">
        <v>40</v>
      </c>
      <c r="E150" s="413">
        <v>43</v>
      </c>
      <c r="F150" s="413">
        <v>38</v>
      </c>
      <c r="G150" s="413">
        <v>47</v>
      </c>
      <c r="H150" s="413">
        <v>32</v>
      </c>
      <c r="I150" s="413">
        <v>48</v>
      </c>
      <c r="J150" s="413">
        <v>43</v>
      </c>
      <c r="K150" s="413">
        <v>35</v>
      </c>
      <c r="L150" s="413">
        <v>29</v>
      </c>
      <c r="M150" s="413">
        <f t="shared" si="4"/>
        <v>355</v>
      </c>
      <c r="N150" s="363">
        <f t="shared" si="5"/>
        <v>3.7049792834256967E-3</v>
      </c>
    </row>
    <row r="151" spans="2:14" ht="14.25" thickTop="1" thickBot="1">
      <c r="B151" s="250">
        <v>20209</v>
      </c>
      <c r="C151" s="272" t="s">
        <v>825</v>
      </c>
      <c r="D151" s="413">
        <v>23</v>
      </c>
      <c r="E151" s="413">
        <v>16</v>
      </c>
      <c r="F151" s="413">
        <v>12</v>
      </c>
      <c r="G151" s="413">
        <v>23</v>
      </c>
      <c r="H151" s="413">
        <v>23</v>
      </c>
      <c r="I151" s="413">
        <v>21</v>
      </c>
      <c r="J151" s="413">
        <v>35</v>
      </c>
      <c r="K151" s="413">
        <v>14</v>
      </c>
      <c r="L151" s="413">
        <v>23</v>
      </c>
      <c r="M151" s="413">
        <f t="shared" si="4"/>
        <v>190</v>
      </c>
      <c r="N151" s="363">
        <f t="shared" si="5"/>
        <v>1.9829466587348802E-3</v>
      </c>
    </row>
    <row r="152" spans="2:14" ht="14.25" thickTop="1" thickBot="1">
      <c r="B152" s="250">
        <v>20210</v>
      </c>
      <c r="C152" s="272" t="s">
        <v>826</v>
      </c>
      <c r="D152" s="413">
        <v>12</v>
      </c>
      <c r="E152" s="413">
        <v>15</v>
      </c>
      <c r="F152" s="413">
        <v>14</v>
      </c>
      <c r="G152" s="413">
        <v>11</v>
      </c>
      <c r="H152" s="413">
        <v>15</v>
      </c>
      <c r="I152" s="413">
        <v>21</v>
      </c>
      <c r="J152" s="413">
        <v>46</v>
      </c>
      <c r="K152" s="413">
        <v>26</v>
      </c>
      <c r="L152" s="413">
        <v>18</v>
      </c>
      <c r="M152" s="413">
        <f t="shared" si="4"/>
        <v>178</v>
      </c>
      <c r="N152" s="363">
        <f t="shared" si="5"/>
        <v>1.8577079223937296E-3</v>
      </c>
    </row>
    <row r="153" spans="2:14" ht="14.25" thickTop="1" thickBot="1">
      <c r="B153" s="250">
        <v>20211</v>
      </c>
      <c r="C153" s="272" t="s">
        <v>772</v>
      </c>
      <c r="D153" s="413">
        <v>17</v>
      </c>
      <c r="E153" s="413">
        <v>13</v>
      </c>
      <c r="F153" s="413">
        <v>15</v>
      </c>
      <c r="G153" s="413">
        <v>17</v>
      </c>
      <c r="H153" s="413">
        <v>25</v>
      </c>
      <c r="I153" s="413">
        <v>18</v>
      </c>
      <c r="J153" s="413">
        <v>30</v>
      </c>
      <c r="K153" s="413">
        <v>19</v>
      </c>
      <c r="L153" s="413">
        <v>16</v>
      </c>
      <c r="M153" s="413">
        <f t="shared" si="4"/>
        <v>170</v>
      </c>
      <c r="N153" s="363">
        <f t="shared" si="5"/>
        <v>1.7742154314996294E-3</v>
      </c>
    </row>
    <row r="154" spans="2:14" ht="14.25" thickTop="1" thickBot="1">
      <c r="B154" s="250">
        <v>20212</v>
      </c>
      <c r="C154" s="272" t="s">
        <v>827</v>
      </c>
      <c r="D154" s="413">
        <v>1</v>
      </c>
      <c r="E154" s="413">
        <v>1</v>
      </c>
      <c r="F154" s="413">
        <v>5</v>
      </c>
      <c r="G154" s="413">
        <v>2</v>
      </c>
      <c r="H154" s="413">
        <v>2</v>
      </c>
      <c r="I154" s="413">
        <v>1</v>
      </c>
      <c r="J154" s="413">
        <v>3</v>
      </c>
      <c r="K154" s="413">
        <v>2</v>
      </c>
      <c r="L154" s="413">
        <v>1</v>
      </c>
      <c r="M154" s="413">
        <f t="shared" si="4"/>
        <v>18</v>
      </c>
      <c r="N154" s="363">
        <f t="shared" si="5"/>
        <v>1.8785810451172548E-4</v>
      </c>
    </row>
    <row r="155" spans="2:14" ht="14.25" thickTop="1" thickBot="1">
      <c r="B155" s="250">
        <v>20213</v>
      </c>
      <c r="C155" s="272" t="s">
        <v>828</v>
      </c>
      <c r="D155" s="413">
        <v>18</v>
      </c>
      <c r="E155" s="413">
        <v>23</v>
      </c>
      <c r="F155" s="413">
        <v>29</v>
      </c>
      <c r="G155" s="413">
        <v>36</v>
      </c>
      <c r="H155" s="413">
        <v>23</v>
      </c>
      <c r="I155" s="413">
        <v>40</v>
      </c>
      <c r="J155" s="413">
        <v>40</v>
      </c>
      <c r="K155" s="413">
        <v>26</v>
      </c>
      <c r="L155" s="413">
        <v>56</v>
      </c>
      <c r="M155" s="413">
        <f t="shared" si="4"/>
        <v>291</v>
      </c>
      <c r="N155" s="363">
        <f t="shared" si="5"/>
        <v>3.0370393562728954E-3</v>
      </c>
    </row>
    <row r="156" spans="2:14" ht="14.25" thickTop="1" thickBot="1">
      <c r="B156" s="250">
        <v>20214</v>
      </c>
      <c r="C156" s="272" t="s">
        <v>746</v>
      </c>
      <c r="D156" s="413" t="s">
        <v>156</v>
      </c>
      <c r="E156" s="413" t="s">
        <v>156</v>
      </c>
      <c r="F156" s="413" t="s">
        <v>156</v>
      </c>
      <c r="G156" s="413" t="s">
        <v>156</v>
      </c>
      <c r="H156" s="413" t="s">
        <v>156</v>
      </c>
      <c r="I156" s="413" t="s">
        <v>156</v>
      </c>
      <c r="J156" s="413" t="s">
        <v>156</v>
      </c>
      <c r="K156" s="413" t="s">
        <v>156</v>
      </c>
      <c r="L156" s="413">
        <v>4</v>
      </c>
      <c r="M156" s="413">
        <f t="shared" si="4"/>
        <v>4</v>
      </c>
      <c r="N156" s="363">
        <f t="shared" si="5"/>
        <v>4.1746245447050105E-5</v>
      </c>
    </row>
    <row r="157" spans="2:14" ht="14.25" thickTop="1" thickBot="1">
      <c r="B157" s="250">
        <v>20301</v>
      </c>
      <c r="C157" s="272" t="s">
        <v>829</v>
      </c>
      <c r="D157" s="413">
        <v>12</v>
      </c>
      <c r="E157" s="413">
        <v>12</v>
      </c>
      <c r="F157" s="413">
        <v>10</v>
      </c>
      <c r="G157" s="413">
        <v>11</v>
      </c>
      <c r="H157" s="413">
        <v>17</v>
      </c>
      <c r="I157" s="413">
        <v>8</v>
      </c>
      <c r="J157" s="413">
        <v>6</v>
      </c>
      <c r="K157" s="413">
        <v>3</v>
      </c>
      <c r="L157" s="413">
        <v>7</v>
      </c>
      <c r="M157" s="413">
        <f t="shared" si="4"/>
        <v>86</v>
      </c>
      <c r="N157" s="363">
        <f t="shared" si="5"/>
        <v>8.9754427711157729E-4</v>
      </c>
    </row>
    <row r="158" spans="2:14" ht="14.25" thickTop="1" thickBot="1">
      <c r="B158" s="250">
        <v>20302</v>
      </c>
      <c r="C158" s="272" t="s">
        <v>63</v>
      </c>
      <c r="D158" s="413">
        <v>12</v>
      </c>
      <c r="E158" s="413">
        <v>8</v>
      </c>
      <c r="F158" s="413">
        <v>7</v>
      </c>
      <c r="G158" s="413">
        <v>18</v>
      </c>
      <c r="H158" s="413">
        <v>9</v>
      </c>
      <c r="I158" s="413">
        <v>10</v>
      </c>
      <c r="J158" s="413">
        <v>9</v>
      </c>
      <c r="K158" s="413">
        <v>6</v>
      </c>
      <c r="L158" s="413">
        <v>7</v>
      </c>
      <c r="M158" s="413">
        <f t="shared" si="4"/>
        <v>86</v>
      </c>
      <c r="N158" s="363">
        <f t="shared" si="5"/>
        <v>8.9754427711157729E-4</v>
      </c>
    </row>
    <row r="159" spans="2:14" ht="14.25" thickTop="1" thickBot="1">
      <c r="B159" s="250">
        <v>20303</v>
      </c>
      <c r="C159" s="272" t="s">
        <v>16</v>
      </c>
      <c r="D159" s="413">
        <v>15</v>
      </c>
      <c r="E159" s="413">
        <v>21</v>
      </c>
      <c r="F159" s="413">
        <v>20</v>
      </c>
      <c r="G159" s="413">
        <v>18</v>
      </c>
      <c r="H159" s="413">
        <v>14</v>
      </c>
      <c r="I159" s="413">
        <v>17</v>
      </c>
      <c r="J159" s="413">
        <v>19</v>
      </c>
      <c r="K159" s="413">
        <v>16</v>
      </c>
      <c r="L159" s="413">
        <v>11</v>
      </c>
      <c r="M159" s="413">
        <f t="shared" si="4"/>
        <v>151</v>
      </c>
      <c r="N159" s="363">
        <f t="shared" si="5"/>
        <v>1.5759207656261414E-3</v>
      </c>
    </row>
    <row r="160" spans="2:14" ht="14.25" thickTop="1" thickBot="1">
      <c r="B160" s="250">
        <v>20304</v>
      </c>
      <c r="C160" s="272" t="s">
        <v>830</v>
      </c>
      <c r="D160" s="413">
        <v>21</v>
      </c>
      <c r="E160" s="413">
        <v>16</v>
      </c>
      <c r="F160" s="413">
        <v>10</v>
      </c>
      <c r="G160" s="413">
        <v>11</v>
      </c>
      <c r="H160" s="413">
        <v>24</v>
      </c>
      <c r="I160" s="413">
        <v>16</v>
      </c>
      <c r="J160" s="413">
        <v>22</v>
      </c>
      <c r="K160" s="413">
        <v>7</v>
      </c>
      <c r="L160" s="413">
        <v>14</v>
      </c>
      <c r="M160" s="413">
        <f t="shared" si="4"/>
        <v>141</v>
      </c>
      <c r="N160" s="363">
        <f t="shared" si="5"/>
        <v>1.4715551520085163E-3</v>
      </c>
    </row>
    <row r="161" spans="2:14" ht="14.25" thickTop="1" thickBot="1">
      <c r="B161" s="250">
        <v>20305</v>
      </c>
      <c r="C161" s="272" t="s">
        <v>831</v>
      </c>
      <c r="D161" s="413">
        <v>11</v>
      </c>
      <c r="E161" s="413">
        <v>13</v>
      </c>
      <c r="F161" s="413">
        <v>4</v>
      </c>
      <c r="G161" s="413">
        <v>22</v>
      </c>
      <c r="H161" s="413">
        <v>16</v>
      </c>
      <c r="I161" s="413">
        <v>20</v>
      </c>
      <c r="J161" s="413">
        <v>6</v>
      </c>
      <c r="K161" s="413">
        <v>73</v>
      </c>
      <c r="L161" s="413">
        <v>9</v>
      </c>
      <c r="M161" s="413">
        <f t="shared" si="4"/>
        <v>174</v>
      </c>
      <c r="N161" s="363">
        <f t="shared" si="5"/>
        <v>1.8159616769466795E-3</v>
      </c>
    </row>
    <row r="162" spans="2:14" ht="14.25" thickTop="1" thickBot="1">
      <c r="B162" s="250">
        <v>20306</v>
      </c>
      <c r="C162" s="272" t="s">
        <v>832</v>
      </c>
      <c r="D162" s="413">
        <v>21</v>
      </c>
      <c r="E162" s="413">
        <v>24</v>
      </c>
      <c r="F162" s="413">
        <v>21</v>
      </c>
      <c r="G162" s="413">
        <v>29</v>
      </c>
      <c r="H162" s="413">
        <v>24</v>
      </c>
      <c r="I162" s="413">
        <v>31</v>
      </c>
      <c r="J162" s="413">
        <v>37</v>
      </c>
      <c r="K162" s="413">
        <v>36</v>
      </c>
      <c r="L162" s="413">
        <v>59</v>
      </c>
      <c r="M162" s="413">
        <f t="shared" si="4"/>
        <v>282</v>
      </c>
      <c r="N162" s="363">
        <f t="shared" si="5"/>
        <v>2.9431103040170326E-3</v>
      </c>
    </row>
    <row r="163" spans="2:14" ht="14.25" thickTop="1" thickBot="1">
      <c r="B163" s="250">
        <v>20307</v>
      </c>
      <c r="C163" s="272" t="s">
        <v>833</v>
      </c>
      <c r="D163" s="413">
        <v>22</v>
      </c>
      <c r="E163" s="413">
        <v>27</v>
      </c>
      <c r="F163" s="413">
        <v>15</v>
      </c>
      <c r="G163" s="413">
        <v>20</v>
      </c>
      <c r="H163" s="413">
        <v>15</v>
      </c>
      <c r="I163" s="413">
        <v>20</v>
      </c>
      <c r="J163" s="413">
        <v>15</v>
      </c>
      <c r="K163" s="413">
        <v>17</v>
      </c>
      <c r="L163" s="413">
        <v>13</v>
      </c>
      <c r="M163" s="413">
        <f t="shared" si="4"/>
        <v>164</v>
      </c>
      <c r="N163" s="363">
        <f t="shared" si="5"/>
        <v>1.7115960633290544E-3</v>
      </c>
    </row>
    <row r="164" spans="2:14" ht="14.25" thickTop="1" thickBot="1">
      <c r="B164" s="250">
        <v>20308</v>
      </c>
      <c r="C164" s="272" t="s">
        <v>834</v>
      </c>
      <c r="D164" s="413">
        <v>20</v>
      </c>
      <c r="E164" s="413">
        <v>17</v>
      </c>
      <c r="F164" s="413">
        <v>15</v>
      </c>
      <c r="G164" s="413">
        <v>14</v>
      </c>
      <c r="H164" s="413">
        <v>22</v>
      </c>
      <c r="I164" s="413">
        <v>19</v>
      </c>
      <c r="J164" s="413">
        <v>14</v>
      </c>
      <c r="K164" s="413">
        <v>14</v>
      </c>
      <c r="L164" s="413">
        <v>18</v>
      </c>
      <c r="M164" s="413">
        <f t="shared" si="4"/>
        <v>153</v>
      </c>
      <c r="N164" s="363">
        <f t="shared" si="5"/>
        <v>1.5967938883496666E-3</v>
      </c>
    </row>
    <row r="165" spans="2:14" ht="14.25" thickTop="1" thickBot="1">
      <c r="B165" s="250">
        <v>20401</v>
      </c>
      <c r="C165" s="272" t="s">
        <v>46</v>
      </c>
      <c r="D165" s="413">
        <v>7</v>
      </c>
      <c r="E165" s="413">
        <v>11</v>
      </c>
      <c r="F165" s="413">
        <v>7</v>
      </c>
      <c r="G165" s="413">
        <v>6</v>
      </c>
      <c r="H165" s="413">
        <v>11</v>
      </c>
      <c r="I165" s="413">
        <v>15</v>
      </c>
      <c r="J165" s="413">
        <v>23</v>
      </c>
      <c r="K165" s="413">
        <v>17</v>
      </c>
      <c r="L165" s="413">
        <v>23</v>
      </c>
      <c r="M165" s="413">
        <f t="shared" si="4"/>
        <v>120</v>
      </c>
      <c r="N165" s="363">
        <f t="shared" si="5"/>
        <v>1.2523873634115031E-3</v>
      </c>
    </row>
    <row r="166" spans="2:14" ht="14.25" thickTop="1" thickBot="1">
      <c r="B166" s="250">
        <v>20402</v>
      </c>
      <c r="C166" s="272" t="s">
        <v>835</v>
      </c>
      <c r="D166" s="413">
        <v>5</v>
      </c>
      <c r="E166" s="413">
        <v>4</v>
      </c>
      <c r="F166" s="413">
        <v>1</v>
      </c>
      <c r="G166" s="413">
        <v>2</v>
      </c>
      <c r="H166" s="413">
        <v>6</v>
      </c>
      <c r="I166" s="413">
        <v>4</v>
      </c>
      <c r="J166" s="413">
        <v>2</v>
      </c>
      <c r="K166" s="413">
        <v>5</v>
      </c>
      <c r="L166" s="413">
        <v>4</v>
      </c>
      <c r="M166" s="413">
        <f t="shared" si="4"/>
        <v>33</v>
      </c>
      <c r="N166" s="363">
        <f t="shared" si="5"/>
        <v>3.4440652493816337E-4</v>
      </c>
    </row>
    <row r="167" spans="2:14" ht="14.25" thickTop="1" thickBot="1">
      <c r="B167" s="250">
        <v>20403</v>
      </c>
      <c r="C167" s="272" t="s">
        <v>836</v>
      </c>
      <c r="D167" s="413">
        <v>7</v>
      </c>
      <c r="E167" s="413">
        <v>10</v>
      </c>
      <c r="F167" s="413">
        <v>7</v>
      </c>
      <c r="G167" s="413">
        <v>4</v>
      </c>
      <c r="H167" s="413">
        <v>5</v>
      </c>
      <c r="I167" s="413">
        <v>17</v>
      </c>
      <c r="J167" s="413">
        <v>10</v>
      </c>
      <c r="K167" s="413">
        <v>8</v>
      </c>
      <c r="L167" s="413">
        <v>6</v>
      </c>
      <c r="M167" s="413">
        <f t="shared" si="4"/>
        <v>74</v>
      </c>
      <c r="N167" s="363">
        <f t="shared" si="5"/>
        <v>7.7230554077042696E-4</v>
      </c>
    </row>
    <row r="168" spans="2:14" ht="14.25" thickTop="1" thickBot="1">
      <c r="B168" s="250">
        <v>20404</v>
      </c>
      <c r="C168" s="272" t="s">
        <v>837</v>
      </c>
      <c r="D168" s="413" t="s">
        <v>156</v>
      </c>
      <c r="E168" s="413" t="s">
        <v>156</v>
      </c>
      <c r="F168" s="413" t="s">
        <v>156</v>
      </c>
      <c r="G168" s="413" t="s">
        <v>156</v>
      </c>
      <c r="H168" s="413" t="s">
        <v>156</v>
      </c>
      <c r="I168" s="413" t="s">
        <v>156</v>
      </c>
      <c r="J168" s="413" t="s">
        <v>156</v>
      </c>
      <c r="K168" s="413">
        <v>3</v>
      </c>
      <c r="L168" s="413">
        <v>6</v>
      </c>
      <c r="M168" s="413">
        <f t="shared" si="4"/>
        <v>9</v>
      </c>
      <c r="N168" s="363">
        <f t="shared" si="5"/>
        <v>9.3929052255862738E-5</v>
      </c>
    </row>
    <row r="169" spans="2:14" ht="14.25" thickTop="1" thickBot="1">
      <c r="B169" s="250">
        <v>20501</v>
      </c>
      <c r="C169" s="272" t="s">
        <v>47</v>
      </c>
      <c r="D169" s="413">
        <v>2</v>
      </c>
      <c r="E169" s="413">
        <v>7</v>
      </c>
      <c r="F169" s="413">
        <v>6</v>
      </c>
      <c r="G169" s="413">
        <v>4</v>
      </c>
      <c r="H169" s="413">
        <v>8</v>
      </c>
      <c r="I169" s="413">
        <v>3</v>
      </c>
      <c r="J169" s="413">
        <v>6</v>
      </c>
      <c r="K169" s="413">
        <v>2</v>
      </c>
      <c r="L169" s="413">
        <v>4</v>
      </c>
      <c r="M169" s="413">
        <f t="shared" si="4"/>
        <v>42</v>
      </c>
      <c r="N169" s="363">
        <f t="shared" si="5"/>
        <v>4.3833557719402612E-4</v>
      </c>
    </row>
    <row r="170" spans="2:14" ht="14.25" thickTop="1" thickBot="1">
      <c r="B170" s="250">
        <v>20502</v>
      </c>
      <c r="C170" s="272" t="s">
        <v>838</v>
      </c>
      <c r="D170" s="413">
        <v>7</v>
      </c>
      <c r="E170" s="413">
        <v>9</v>
      </c>
      <c r="F170" s="413">
        <v>8</v>
      </c>
      <c r="G170" s="413">
        <v>3</v>
      </c>
      <c r="H170" s="413">
        <v>3</v>
      </c>
      <c r="I170" s="413">
        <v>1</v>
      </c>
      <c r="J170" s="413">
        <v>3</v>
      </c>
      <c r="K170" s="413">
        <v>3</v>
      </c>
      <c r="L170" s="413">
        <v>2</v>
      </c>
      <c r="M170" s="413">
        <f t="shared" si="4"/>
        <v>39</v>
      </c>
      <c r="N170" s="363">
        <f t="shared" si="5"/>
        <v>4.0702589310873854E-4</v>
      </c>
    </row>
    <row r="171" spans="2:14" ht="14.25" thickTop="1" thickBot="1">
      <c r="B171" s="250">
        <v>20503</v>
      </c>
      <c r="C171" s="272" t="s">
        <v>792</v>
      </c>
      <c r="D171" s="413">
        <v>5</v>
      </c>
      <c r="E171" s="413">
        <v>3</v>
      </c>
      <c r="F171" s="413">
        <v>6</v>
      </c>
      <c r="G171" s="413">
        <v>5</v>
      </c>
      <c r="H171" s="413">
        <v>7</v>
      </c>
      <c r="I171" s="413">
        <v>4</v>
      </c>
      <c r="J171" s="413">
        <v>6</v>
      </c>
      <c r="K171" s="413">
        <v>6</v>
      </c>
      <c r="L171" s="413" t="s">
        <v>156</v>
      </c>
      <c r="M171" s="413">
        <f t="shared" si="4"/>
        <v>42</v>
      </c>
      <c r="N171" s="363">
        <f t="shared" si="5"/>
        <v>4.3833557719402612E-4</v>
      </c>
    </row>
    <row r="172" spans="2:14" ht="14.25" thickTop="1" thickBot="1">
      <c r="B172" s="250">
        <v>20504</v>
      </c>
      <c r="C172" s="272" t="s">
        <v>63</v>
      </c>
      <c r="D172" s="413">
        <v>7</v>
      </c>
      <c r="E172" s="413">
        <v>9</v>
      </c>
      <c r="F172" s="413">
        <v>4</v>
      </c>
      <c r="G172" s="413">
        <v>4</v>
      </c>
      <c r="H172" s="413">
        <v>10</v>
      </c>
      <c r="I172" s="413">
        <v>7</v>
      </c>
      <c r="J172" s="413">
        <v>16</v>
      </c>
      <c r="K172" s="413">
        <v>2</v>
      </c>
      <c r="L172" s="413">
        <v>2</v>
      </c>
      <c r="M172" s="413">
        <f t="shared" si="4"/>
        <v>61</v>
      </c>
      <c r="N172" s="363">
        <f t="shared" si="5"/>
        <v>6.3663024306751415E-4</v>
      </c>
    </row>
    <row r="173" spans="2:14" ht="14.25" thickTop="1" thickBot="1">
      <c r="B173" s="250">
        <v>20505</v>
      </c>
      <c r="C173" s="272" t="s">
        <v>772</v>
      </c>
      <c r="D173" s="413">
        <v>7</v>
      </c>
      <c r="E173" s="413">
        <v>8</v>
      </c>
      <c r="F173" s="413">
        <v>8</v>
      </c>
      <c r="G173" s="413">
        <v>5</v>
      </c>
      <c r="H173" s="413">
        <v>7</v>
      </c>
      <c r="I173" s="413">
        <v>8</v>
      </c>
      <c r="J173" s="413">
        <v>10</v>
      </c>
      <c r="K173" s="413">
        <v>3</v>
      </c>
      <c r="L173" s="413">
        <v>3</v>
      </c>
      <c r="M173" s="413">
        <f t="shared" si="4"/>
        <v>59</v>
      </c>
      <c r="N173" s="363">
        <f t="shared" si="5"/>
        <v>6.1575712034398909E-4</v>
      </c>
    </row>
    <row r="174" spans="2:14" ht="14.25" thickTop="1" thickBot="1">
      <c r="B174" s="250">
        <v>20506</v>
      </c>
      <c r="C174" s="272" t="s">
        <v>16</v>
      </c>
      <c r="D174" s="413">
        <v>7</v>
      </c>
      <c r="E174" s="413">
        <v>5</v>
      </c>
      <c r="F174" s="413">
        <v>4</v>
      </c>
      <c r="G174" s="413">
        <v>3</v>
      </c>
      <c r="H174" s="413">
        <v>3</v>
      </c>
      <c r="I174" s="413">
        <v>6</v>
      </c>
      <c r="J174" s="413">
        <v>2</v>
      </c>
      <c r="K174" s="413">
        <v>3</v>
      </c>
      <c r="L174" s="413" t="s">
        <v>156</v>
      </c>
      <c r="M174" s="413">
        <f t="shared" si="4"/>
        <v>33</v>
      </c>
      <c r="N174" s="363">
        <f t="shared" si="5"/>
        <v>3.4440652493816337E-4</v>
      </c>
    </row>
    <row r="175" spans="2:14" ht="14.25" thickTop="1" thickBot="1">
      <c r="B175" s="250">
        <v>20507</v>
      </c>
      <c r="C175" s="272" t="s">
        <v>839</v>
      </c>
      <c r="D175" s="413">
        <v>9</v>
      </c>
      <c r="E175" s="413">
        <v>9</v>
      </c>
      <c r="F175" s="413">
        <v>32</v>
      </c>
      <c r="G175" s="413">
        <v>17</v>
      </c>
      <c r="H175" s="413">
        <v>5</v>
      </c>
      <c r="I175" s="413">
        <v>3</v>
      </c>
      <c r="J175" s="413">
        <v>10</v>
      </c>
      <c r="K175" s="413">
        <v>4</v>
      </c>
      <c r="L175" s="413">
        <v>4</v>
      </c>
      <c r="M175" s="413">
        <f t="shared" si="4"/>
        <v>93</v>
      </c>
      <c r="N175" s="363">
        <f t="shared" si="5"/>
        <v>9.7060020664391494E-4</v>
      </c>
    </row>
    <row r="176" spans="2:14" ht="14.25" thickTop="1" thickBot="1">
      <c r="B176" s="250">
        <v>20508</v>
      </c>
      <c r="C176" s="272" t="s">
        <v>840</v>
      </c>
      <c r="D176" s="413">
        <v>1</v>
      </c>
      <c r="E176" s="413">
        <v>4</v>
      </c>
      <c r="F176" s="413">
        <v>1</v>
      </c>
      <c r="G176" s="413">
        <v>1</v>
      </c>
      <c r="H176" s="413">
        <v>4</v>
      </c>
      <c r="I176" s="413" t="s">
        <v>156</v>
      </c>
      <c r="J176" s="413">
        <v>4</v>
      </c>
      <c r="K176" s="413">
        <v>4</v>
      </c>
      <c r="L176" s="413" t="s">
        <v>156</v>
      </c>
      <c r="M176" s="413">
        <f t="shared" si="4"/>
        <v>19</v>
      </c>
      <c r="N176" s="363">
        <f t="shared" si="5"/>
        <v>1.98294665873488E-4</v>
      </c>
    </row>
    <row r="177" spans="2:14" ht="14.25" thickTop="1" thickBot="1">
      <c r="B177" s="250">
        <v>20601</v>
      </c>
      <c r="C177" s="272" t="s">
        <v>48</v>
      </c>
      <c r="D177" s="413">
        <v>47</v>
      </c>
      <c r="E177" s="413">
        <v>46</v>
      </c>
      <c r="F177" s="413">
        <v>31</v>
      </c>
      <c r="G177" s="413">
        <v>31</v>
      </c>
      <c r="H177" s="413">
        <v>34</v>
      </c>
      <c r="I177" s="413">
        <v>24</v>
      </c>
      <c r="J177" s="413">
        <v>24</v>
      </c>
      <c r="K177" s="413">
        <v>27</v>
      </c>
      <c r="L177" s="413">
        <v>27</v>
      </c>
      <c r="M177" s="413">
        <f t="shared" si="4"/>
        <v>291</v>
      </c>
      <c r="N177" s="363">
        <f t="shared" si="5"/>
        <v>3.0370393562728954E-3</v>
      </c>
    </row>
    <row r="178" spans="2:14" ht="14.25" thickTop="1" thickBot="1">
      <c r="B178" s="250">
        <v>20602</v>
      </c>
      <c r="C178" s="272" t="s">
        <v>727</v>
      </c>
      <c r="D178" s="413">
        <v>13</v>
      </c>
      <c r="E178" s="413">
        <v>9</v>
      </c>
      <c r="F178" s="413">
        <v>12</v>
      </c>
      <c r="G178" s="413">
        <v>13</v>
      </c>
      <c r="H178" s="413">
        <v>9</v>
      </c>
      <c r="I178" s="413">
        <v>7</v>
      </c>
      <c r="J178" s="413">
        <v>12</v>
      </c>
      <c r="K178" s="413">
        <v>6</v>
      </c>
      <c r="L178" s="413">
        <v>8</v>
      </c>
      <c r="M178" s="413">
        <f t="shared" si="4"/>
        <v>89</v>
      </c>
      <c r="N178" s="363">
        <f t="shared" si="5"/>
        <v>9.2885396119686482E-4</v>
      </c>
    </row>
    <row r="179" spans="2:14" ht="14.25" thickTop="1" thickBot="1">
      <c r="B179" s="250">
        <v>20603</v>
      </c>
      <c r="C179" s="272" t="s">
        <v>16</v>
      </c>
      <c r="D179" s="413">
        <v>5</v>
      </c>
      <c r="E179" s="413">
        <v>8</v>
      </c>
      <c r="F179" s="413">
        <v>8</v>
      </c>
      <c r="G179" s="413">
        <v>6</v>
      </c>
      <c r="H179" s="413">
        <v>8</v>
      </c>
      <c r="I179" s="413">
        <v>3</v>
      </c>
      <c r="J179" s="413">
        <v>8</v>
      </c>
      <c r="K179" s="413">
        <v>9</v>
      </c>
      <c r="L179" s="413">
        <v>8</v>
      </c>
      <c r="M179" s="413">
        <f t="shared" si="4"/>
        <v>63</v>
      </c>
      <c r="N179" s="363">
        <f t="shared" si="5"/>
        <v>6.5750336579103921E-4</v>
      </c>
    </row>
    <row r="180" spans="2:14" ht="14.25" thickTop="1" thickBot="1">
      <c r="B180" s="250">
        <v>20604</v>
      </c>
      <c r="C180" s="272" t="s">
        <v>841</v>
      </c>
      <c r="D180" s="413">
        <v>25</v>
      </c>
      <c r="E180" s="413">
        <v>26</v>
      </c>
      <c r="F180" s="413">
        <v>16</v>
      </c>
      <c r="G180" s="413">
        <v>16</v>
      </c>
      <c r="H180" s="413">
        <v>13</v>
      </c>
      <c r="I180" s="413">
        <v>25</v>
      </c>
      <c r="J180" s="413">
        <v>23</v>
      </c>
      <c r="K180" s="413">
        <v>14</v>
      </c>
      <c r="L180" s="413">
        <v>23</v>
      </c>
      <c r="M180" s="413">
        <f t="shared" si="4"/>
        <v>181</v>
      </c>
      <c r="N180" s="363">
        <f t="shared" si="5"/>
        <v>1.8890176064790174E-3</v>
      </c>
    </row>
    <row r="181" spans="2:14" ht="14.25" thickTop="1" thickBot="1">
      <c r="B181" s="250">
        <v>20605</v>
      </c>
      <c r="C181" s="272" t="s">
        <v>788</v>
      </c>
      <c r="D181" s="413">
        <v>15</v>
      </c>
      <c r="E181" s="413">
        <v>16</v>
      </c>
      <c r="F181" s="413">
        <v>18</v>
      </c>
      <c r="G181" s="413">
        <v>9</v>
      </c>
      <c r="H181" s="413">
        <v>11</v>
      </c>
      <c r="I181" s="413">
        <v>33</v>
      </c>
      <c r="J181" s="413">
        <v>15</v>
      </c>
      <c r="K181" s="413">
        <v>19</v>
      </c>
      <c r="L181" s="413">
        <v>16</v>
      </c>
      <c r="M181" s="413">
        <f t="shared" si="4"/>
        <v>152</v>
      </c>
      <c r="N181" s="363">
        <f t="shared" si="5"/>
        <v>1.586357326987904E-3</v>
      </c>
    </row>
    <row r="182" spans="2:14" ht="14.25" thickTop="1" thickBot="1">
      <c r="B182" s="250">
        <v>20606</v>
      </c>
      <c r="C182" s="272" t="s">
        <v>782</v>
      </c>
      <c r="D182" s="413">
        <v>5</v>
      </c>
      <c r="E182" s="413">
        <v>16</v>
      </c>
      <c r="F182" s="413">
        <v>11</v>
      </c>
      <c r="G182" s="413">
        <v>11</v>
      </c>
      <c r="H182" s="413">
        <v>10</v>
      </c>
      <c r="I182" s="413">
        <v>11</v>
      </c>
      <c r="J182" s="413">
        <v>4</v>
      </c>
      <c r="K182" s="413">
        <v>5</v>
      </c>
      <c r="L182" s="413">
        <v>9</v>
      </c>
      <c r="M182" s="413">
        <f t="shared" si="4"/>
        <v>82</v>
      </c>
      <c r="N182" s="363">
        <f t="shared" si="5"/>
        <v>8.5579803166452718E-4</v>
      </c>
    </row>
    <row r="183" spans="2:14" ht="14.25" thickTop="1" thickBot="1">
      <c r="B183" s="250">
        <v>20607</v>
      </c>
      <c r="C183" s="272" t="s">
        <v>842</v>
      </c>
      <c r="D183" s="413">
        <v>7</v>
      </c>
      <c r="E183" s="413">
        <v>7</v>
      </c>
      <c r="F183" s="413">
        <v>16</v>
      </c>
      <c r="G183" s="413">
        <v>9</v>
      </c>
      <c r="H183" s="413">
        <v>9</v>
      </c>
      <c r="I183" s="413">
        <v>10</v>
      </c>
      <c r="J183" s="413">
        <v>4</v>
      </c>
      <c r="K183" s="413">
        <v>4</v>
      </c>
      <c r="L183" s="413">
        <v>6</v>
      </c>
      <c r="M183" s="413">
        <f t="shared" si="4"/>
        <v>72</v>
      </c>
      <c r="N183" s="363">
        <f t="shared" si="5"/>
        <v>7.514324180469019E-4</v>
      </c>
    </row>
    <row r="184" spans="2:14" ht="14.25" thickTop="1" thickBot="1">
      <c r="B184" s="250">
        <v>20608</v>
      </c>
      <c r="C184" s="272" t="s">
        <v>843</v>
      </c>
      <c r="D184" s="413">
        <v>5</v>
      </c>
      <c r="E184" s="413">
        <v>2</v>
      </c>
      <c r="F184" s="413">
        <v>5</v>
      </c>
      <c r="G184" s="413">
        <v>11</v>
      </c>
      <c r="H184" s="413">
        <v>6</v>
      </c>
      <c r="I184" s="413">
        <v>11</v>
      </c>
      <c r="J184" s="413">
        <v>6</v>
      </c>
      <c r="K184" s="413">
        <v>9</v>
      </c>
      <c r="L184" s="413">
        <v>5</v>
      </c>
      <c r="M184" s="413">
        <f t="shared" si="4"/>
        <v>60</v>
      </c>
      <c r="N184" s="363">
        <f t="shared" si="5"/>
        <v>6.2619368170575157E-4</v>
      </c>
    </row>
    <row r="185" spans="2:14" ht="14.25" thickTop="1" thickBot="1">
      <c r="B185" s="250">
        <v>20701</v>
      </c>
      <c r="C185" s="272" t="s">
        <v>49</v>
      </c>
      <c r="D185" s="413">
        <v>4</v>
      </c>
      <c r="E185" s="413">
        <v>2</v>
      </c>
      <c r="F185" s="413">
        <v>3</v>
      </c>
      <c r="G185" s="413">
        <v>3</v>
      </c>
      <c r="H185" s="413">
        <v>4</v>
      </c>
      <c r="I185" s="413">
        <v>3</v>
      </c>
      <c r="J185" s="413">
        <v>3</v>
      </c>
      <c r="K185" s="413">
        <v>1</v>
      </c>
      <c r="L185" s="413">
        <v>1</v>
      </c>
      <c r="M185" s="413">
        <f t="shared" si="4"/>
        <v>24</v>
      </c>
      <c r="N185" s="363">
        <f t="shared" si="5"/>
        <v>2.5047747268230062E-4</v>
      </c>
    </row>
    <row r="186" spans="2:14" ht="14.25" thickTop="1" thickBot="1">
      <c r="B186" s="250">
        <v>20702</v>
      </c>
      <c r="C186" s="272" t="s">
        <v>844</v>
      </c>
      <c r="D186" s="413">
        <v>23</v>
      </c>
      <c r="E186" s="413">
        <v>13</v>
      </c>
      <c r="F186" s="413">
        <v>20</v>
      </c>
      <c r="G186" s="413">
        <v>16</v>
      </c>
      <c r="H186" s="413">
        <v>19</v>
      </c>
      <c r="I186" s="413">
        <v>21</v>
      </c>
      <c r="J186" s="413">
        <v>20</v>
      </c>
      <c r="K186" s="413">
        <v>13</v>
      </c>
      <c r="L186" s="413">
        <v>12</v>
      </c>
      <c r="M186" s="413">
        <f t="shared" si="4"/>
        <v>157</v>
      </c>
      <c r="N186" s="363">
        <f t="shared" si="5"/>
        <v>1.6385401337967167E-3</v>
      </c>
    </row>
    <row r="187" spans="2:14" ht="14.25" thickTop="1" thickBot="1">
      <c r="B187" s="250">
        <v>20703</v>
      </c>
      <c r="C187" s="272" t="s">
        <v>79</v>
      </c>
      <c r="D187" s="413">
        <v>10</v>
      </c>
      <c r="E187" s="413">
        <v>12</v>
      </c>
      <c r="F187" s="413">
        <v>11</v>
      </c>
      <c r="G187" s="413">
        <v>21</v>
      </c>
      <c r="H187" s="413">
        <v>21</v>
      </c>
      <c r="I187" s="413">
        <v>11</v>
      </c>
      <c r="J187" s="413">
        <v>21</v>
      </c>
      <c r="K187" s="413">
        <v>6</v>
      </c>
      <c r="L187" s="413">
        <v>7</v>
      </c>
      <c r="M187" s="413">
        <f t="shared" si="4"/>
        <v>120</v>
      </c>
      <c r="N187" s="363">
        <f t="shared" si="5"/>
        <v>1.2523873634115031E-3</v>
      </c>
    </row>
    <row r="188" spans="2:14" ht="14.25" thickTop="1" thickBot="1">
      <c r="B188" s="250">
        <v>20704</v>
      </c>
      <c r="C188" s="272" t="s">
        <v>738</v>
      </c>
      <c r="D188" s="413">
        <v>11</v>
      </c>
      <c r="E188" s="413">
        <v>9</v>
      </c>
      <c r="F188" s="413">
        <v>10</v>
      </c>
      <c r="G188" s="413">
        <v>10</v>
      </c>
      <c r="H188" s="413">
        <v>2</v>
      </c>
      <c r="I188" s="413">
        <v>11</v>
      </c>
      <c r="J188" s="413">
        <v>8</v>
      </c>
      <c r="K188" s="413" t="s">
        <v>156</v>
      </c>
      <c r="L188" s="413">
        <v>3</v>
      </c>
      <c r="M188" s="413">
        <f t="shared" si="4"/>
        <v>64</v>
      </c>
      <c r="N188" s="363">
        <f t="shared" si="5"/>
        <v>6.6793992715280168E-4</v>
      </c>
    </row>
    <row r="189" spans="2:14" ht="14.25" thickTop="1" thickBot="1">
      <c r="B189" s="250">
        <v>20705</v>
      </c>
      <c r="C189" s="272" t="s">
        <v>845</v>
      </c>
      <c r="D189" s="413">
        <v>14</v>
      </c>
      <c r="E189" s="413">
        <v>7</v>
      </c>
      <c r="F189" s="413">
        <v>8</v>
      </c>
      <c r="G189" s="413">
        <v>5</v>
      </c>
      <c r="H189" s="413">
        <v>5</v>
      </c>
      <c r="I189" s="413">
        <v>6</v>
      </c>
      <c r="J189" s="413">
        <v>4</v>
      </c>
      <c r="K189" s="413" t="s">
        <v>156</v>
      </c>
      <c r="L189" s="413">
        <v>3</v>
      </c>
      <c r="M189" s="413">
        <f t="shared" si="4"/>
        <v>52</v>
      </c>
      <c r="N189" s="363">
        <f t="shared" si="5"/>
        <v>5.4270119081165134E-4</v>
      </c>
    </row>
    <row r="190" spans="2:14" ht="14.25" thickTop="1" thickBot="1">
      <c r="B190" s="250">
        <v>20706</v>
      </c>
      <c r="C190" s="272" t="s">
        <v>846</v>
      </c>
      <c r="D190" s="413">
        <v>22</v>
      </c>
      <c r="E190" s="413">
        <v>26</v>
      </c>
      <c r="F190" s="413">
        <v>11</v>
      </c>
      <c r="G190" s="413">
        <v>25</v>
      </c>
      <c r="H190" s="413">
        <v>19</v>
      </c>
      <c r="I190" s="413">
        <v>22</v>
      </c>
      <c r="J190" s="413">
        <v>17</v>
      </c>
      <c r="K190" s="413">
        <v>20</v>
      </c>
      <c r="L190" s="413">
        <v>15</v>
      </c>
      <c r="M190" s="413">
        <f t="shared" si="4"/>
        <v>177</v>
      </c>
      <c r="N190" s="363">
        <f t="shared" si="5"/>
        <v>1.8472713610319673E-3</v>
      </c>
    </row>
    <row r="191" spans="2:14" ht="14.25" thickTop="1" thickBot="1">
      <c r="B191" s="250">
        <v>20707</v>
      </c>
      <c r="C191" s="272" t="s">
        <v>847</v>
      </c>
      <c r="D191" s="413">
        <v>10</v>
      </c>
      <c r="E191" s="413">
        <v>4</v>
      </c>
      <c r="F191" s="413">
        <v>6</v>
      </c>
      <c r="G191" s="413">
        <v>5</v>
      </c>
      <c r="H191" s="413">
        <v>5</v>
      </c>
      <c r="I191" s="413">
        <v>3</v>
      </c>
      <c r="J191" s="413">
        <v>3</v>
      </c>
      <c r="K191" s="413">
        <v>2</v>
      </c>
      <c r="L191" s="413" t="s">
        <v>156</v>
      </c>
      <c r="M191" s="413">
        <f t="shared" si="4"/>
        <v>38</v>
      </c>
      <c r="N191" s="363">
        <f t="shared" si="5"/>
        <v>3.9658933174697601E-4</v>
      </c>
    </row>
    <row r="192" spans="2:14" ht="14.25" thickTop="1" thickBot="1">
      <c r="B192" s="250">
        <v>20801</v>
      </c>
      <c r="C192" s="272" t="s">
        <v>790</v>
      </c>
      <c r="D192" s="413">
        <v>18</v>
      </c>
      <c r="E192" s="413">
        <v>15</v>
      </c>
      <c r="F192" s="413">
        <v>12</v>
      </c>
      <c r="G192" s="413">
        <v>10</v>
      </c>
      <c r="H192" s="413">
        <v>4</v>
      </c>
      <c r="I192" s="413">
        <v>9</v>
      </c>
      <c r="J192" s="413">
        <v>8</v>
      </c>
      <c r="K192" s="413">
        <v>5</v>
      </c>
      <c r="L192" s="413">
        <v>3</v>
      </c>
      <c r="M192" s="413">
        <f t="shared" si="4"/>
        <v>84</v>
      </c>
      <c r="N192" s="363">
        <f t="shared" si="5"/>
        <v>8.7667115438805224E-4</v>
      </c>
    </row>
    <row r="193" spans="2:14" ht="14.25" thickTop="1" thickBot="1">
      <c r="B193" s="250">
        <v>20802</v>
      </c>
      <c r="C193" s="272" t="s">
        <v>782</v>
      </c>
      <c r="D193" s="413">
        <v>42</v>
      </c>
      <c r="E193" s="413">
        <v>9</v>
      </c>
      <c r="F193" s="413">
        <v>11</v>
      </c>
      <c r="G193" s="413">
        <v>5</v>
      </c>
      <c r="H193" s="413">
        <v>6</v>
      </c>
      <c r="I193" s="413">
        <v>6</v>
      </c>
      <c r="J193" s="413">
        <v>9</v>
      </c>
      <c r="K193" s="413">
        <v>6</v>
      </c>
      <c r="L193" s="413">
        <v>2</v>
      </c>
      <c r="M193" s="413">
        <f t="shared" si="4"/>
        <v>96</v>
      </c>
      <c r="N193" s="363">
        <f t="shared" si="5"/>
        <v>1.0019098907292025E-3</v>
      </c>
    </row>
    <row r="194" spans="2:14" ht="14.25" thickTop="1" thickBot="1">
      <c r="B194" s="250">
        <v>20803</v>
      </c>
      <c r="C194" s="272" t="s">
        <v>18</v>
      </c>
      <c r="D194" s="413">
        <v>17</v>
      </c>
      <c r="E194" s="413">
        <v>13</v>
      </c>
      <c r="F194" s="413">
        <v>5</v>
      </c>
      <c r="G194" s="413">
        <v>9</v>
      </c>
      <c r="H194" s="413">
        <v>8</v>
      </c>
      <c r="I194" s="413">
        <v>9</v>
      </c>
      <c r="J194" s="413">
        <v>13</v>
      </c>
      <c r="K194" s="413">
        <v>7</v>
      </c>
      <c r="L194" s="413">
        <v>7</v>
      </c>
      <c r="M194" s="413">
        <f t="shared" si="4"/>
        <v>88</v>
      </c>
      <c r="N194" s="363">
        <f t="shared" si="5"/>
        <v>9.1841739983510235E-4</v>
      </c>
    </row>
    <row r="195" spans="2:14" ht="14.25" thickTop="1" thickBot="1">
      <c r="B195" s="250">
        <v>20804</v>
      </c>
      <c r="C195" s="272" t="s">
        <v>848</v>
      </c>
      <c r="D195" s="413">
        <v>25</v>
      </c>
      <c r="E195" s="413">
        <v>18</v>
      </c>
      <c r="F195" s="413">
        <v>18</v>
      </c>
      <c r="G195" s="413">
        <v>16</v>
      </c>
      <c r="H195" s="413">
        <v>15</v>
      </c>
      <c r="I195" s="413">
        <v>5</v>
      </c>
      <c r="J195" s="413">
        <v>7</v>
      </c>
      <c r="K195" s="413">
        <v>4</v>
      </c>
      <c r="L195" s="413">
        <v>4</v>
      </c>
      <c r="M195" s="413">
        <f t="shared" si="4"/>
        <v>112</v>
      </c>
      <c r="N195" s="363">
        <f t="shared" si="5"/>
        <v>1.1688948725174029E-3</v>
      </c>
    </row>
    <row r="196" spans="2:14" ht="14.25" thickTop="1" thickBot="1">
      <c r="B196" s="250">
        <v>20805</v>
      </c>
      <c r="C196" s="272" t="s">
        <v>849</v>
      </c>
      <c r="D196" s="413">
        <v>3</v>
      </c>
      <c r="E196" s="413">
        <v>24</v>
      </c>
      <c r="F196" s="413">
        <v>6</v>
      </c>
      <c r="G196" s="413">
        <v>78</v>
      </c>
      <c r="H196" s="413">
        <v>7</v>
      </c>
      <c r="I196" s="413">
        <v>24</v>
      </c>
      <c r="J196" s="413">
        <v>10</v>
      </c>
      <c r="K196" s="413" t="s">
        <v>156</v>
      </c>
      <c r="L196" s="413" t="s">
        <v>156</v>
      </c>
      <c r="M196" s="413">
        <f t="shared" si="4"/>
        <v>152</v>
      </c>
      <c r="N196" s="363">
        <f t="shared" si="5"/>
        <v>1.586357326987904E-3</v>
      </c>
    </row>
    <row r="197" spans="2:14" ht="14.25" thickTop="1" thickBot="1">
      <c r="B197" s="250">
        <v>20901</v>
      </c>
      <c r="C197" s="272" t="s">
        <v>51</v>
      </c>
      <c r="D197" s="413">
        <v>32</v>
      </c>
      <c r="E197" s="413">
        <v>28</v>
      </c>
      <c r="F197" s="413">
        <v>12</v>
      </c>
      <c r="G197" s="413">
        <v>24</v>
      </c>
      <c r="H197" s="413">
        <v>18</v>
      </c>
      <c r="I197" s="413">
        <v>28</v>
      </c>
      <c r="J197" s="413">
        <v>22</v>
      </c>
      <c r="K197" s="413">
        <v>9</v>
      </c>
      <c r="L197" s="413">
        <v>27</v>
      </c>
      <c r="M197" s="413">
        <f t="shared" si="4"/>
        <v>200</v>
      </c>
      <c r="N197" s="363">
        <f t="shared" si="5"/>
        <v>2.0873122723525052E-3</v>
      </c>
    </row>
    <row r="198" spans="2:14" ht="14.25" thickTop="1" thickBot="1">
      <c r="B198" s="250">
        <v>20902</v>
      </c>
      <c r="C198" s="272" t="s">
        <v>850</v>
      </c>
      <c r="D198" s="413">
        <v>7</v>
      </c>
      <c r="E198" s="413">
        <v>10</v>
      </c>
      <c r="F198" s="413">
        <v>6</v>
      </c>
      <c r="G198" s="413">
        <v>6</v>
      </c>
      <c r="H198" s="413">
        <v>7</v>
      </c>
      <c r="I198" s="413">
        <v>3</v>
      </c>
      <c r="J198" s="413">
        <v>6</v>
      </c>
      <c r="K198" s="413">
        <v>13</v>
      </c>
      <c r="L198" s="413">
        <v>7</v>
      </c>
      <c r="M198" s="413">
        <f t="shared" ref="M198:M261" si="6">SUM(D198:L198)</f>
        <v>65</v>
      </c>
      <c r="N198" s="363">
        <f t="shared" si="5"/>
        <v>6.7837648851456426E-4</v>
      </c>
    </row>
    <row r="199" spans="2:14" ht="14.25" thickTop="1" thickBot="1">
      <c r="B199" s="250">
        <v>20903</v>
      </c>
      <c r="C199" s="272" t="s">
        <v>851</v>
      </c>
      <c r="D199" s="413" t="s">
        <v>156</v>
      </c>
      <c r="E199" s="413">
        <v>5</v>
      </c>
      <c r="F199" s="413">
        <v>1</v>
      </c>
      <c r="G199" s="413">
        <v>2</v>
      </c>
      <c r="H199" s="413">
        <v>1</v>
      </c>
      <c r="I199" s="413">
        <v>2</v>
      </c>
      <c r="J199" s="413">
        <v>3</v>
      </c>
      <c r="K199" s="413">
        <v>4</v>
      </c>
      <c r="L199" s="413">
        <v>1</v>
      </c>
      <c r="M199" s="413">
        <f t="shared" si="6"/>
        <v>19</v>
      </c>
      <c r="N199" s="363">
        <f t="shared" ref="N199:N262" si="7">+M199/$M$491</f>
        <v>1.98294665873488E-4</v>
      </c>
    </row>
    <row r="200" spans="2:14" ht="14.25" thickTop="1" thickBot="1">
      <c r="B200" s="250">
        <v>20904</v>
      </c>
      <c r="C200" s="272" t="s">
        <v>852</v>
      </c>
      <c r="D200" s="413">
        <v>17</v>
      </c>
      <c r="E200" s="413">
        <v>23</v>
      </c>
      <c r="F200" s="413">
        <v>24</v>
      </c>
      <c r="G200" s="413">
        <v>45</v>
      </c>
      <c r="H200" s="413">
        <v>31</v>
      </c>
      <c r="I200" s="413">
        <v>32</v>
      </c>
      <c r="J200" s="413">
        <v>46</v>
      </c>
      <c r="K200" s="413">
        <v>23</v>
      </c>
      <c r="L200" s="413">
        <v>128</v>
      </c>
      <c r="M200" s="413">
        <f t="shared" si="6"/>
        <v>369</v>
      </c>
      <c r="N200" s="363">
        <f t="shared" si="7"/>
        <v>3.8510911424903724E-3</v>
      </c>
    </row>
    <row r="201" spans="2:14" ht="14.25" thickTop="1" thickBot="1">
      <c r="B201" s="250">
        <v>20905</v>
      </c>
      <c r="C201" s="272" t="s">
        <v>853</v>
      </c>
      <c r="D201" s="413">
        <v>3</v>
      </c>
      <c r="E201" s="413">
        <v>4</v>
      </c>
      <c r="F201" s="413">
        <v>3</v>
      </c>
      <c r="G201" s="413">
        <v>8</v>
      </c>
      <c r="H201" s="413">
        <v>8</v>
      </c>
      <c r="I201" s="413">
        <v>13</v>
      </c>
      <c r="J201" s="413">
        <v>8</v>
      </c>
      <c r="K201" s="413">
        <v>19</v>
      </c>
      <c r="L201" s="413">
        <v>12</v>
      </c>
      <c r="M201" s="413">
        <f t="shared" si="6"/>
        <v>78</v>
      </c>
      <c r="N201" s="363">
        <f t="shared" si="7"/>
        <v>8.1405178621747707E-4</v>
      </c>
    </row>
    <row r="202" spans="2:14" ht="14.25" thickTop="1" thickBot="1">
      <c r="B202" s="250">
        <v>21001</v>
      </c>
      <c r="C202" s="272" t="s">
        <v>854</v>
      </c>
      <c r="D202" s="413">
        <v>73</v>
      </c>
      <c r="E202" s="413">
        <v>55</v>
      </c>
      <c r="F202" s="413">
        <v>64</v>
      </c>
      <c r="G202" s="413">
        <v>76</v>
      </c>
      <c r="H202" s="413">
        <v>64</v>
      </c>
      <c r="I202" s="413">
        <v>96</v>
      </c>
      <c r="J202" s="413">
        <v>95</v>
      </c>
      <c r="K202" s="413">
        <v>88</v>
      </c>
      <c r="L202" s="413">
        <v>90</v>
      </c>
      <c r="M202" s="413">
        <f t="shared" si="6"/>
        <v>701</v>
      </c>
      <c r="N202" s="363">
        <f t="shared" si="7"/>
        <v>7.3160295145955311E-3</v>
      </c>
    </row>
    <row r="203" spans="2:14" ht="14.25" thickTop="1" thickBot="1">
      <c r="B203" s="250">
        <v>21002</v>
      </c>
      <c r="C203" s="272" t="s">
        <v>855</v>
      </c>
      <c r="D203" s="413">
        <v>73</v>
      </c>
      <c r="E203" s="413">
        <v>62</v>
      </c>
      <c r="F203" s="413">
        <v>54</v>
      </c>
      <c r="G203" s="413">
        <v>68</v>
      </c>
      <c r="H203" s="413">
        <v>53</v>
      </c>
      <c r="I203" s="413">
        <v>78</v>
      </c>
      <c r="J203" s="413">
        <v>87</v>
      </c>
      <c r="K203" s="413">
        <v>76</v>
      </c>
      <c r="L203" s="413">
        <v>99</v>
      </c>
      <c r="M203" s="413">
        <f t="shared" si="6"/>
        <v>650</v>
      </c>
      <c r="N203" s="363">
        <f t="shared" si="7"/>
        <v>6.783764885145642E-3</v>
      </c>
    </row>
    <row r="204" spans="2:14" ht="14.25" thickTop="1" thickBot="1">
      <c r="B204" s="250">
        <v>21003</v>
      </c>
      <c r="C204" s="272" t="s">
        <v>856</v>
      </c>
      <c r="D204" s="413">
        <v>1</v>
      </c>
      <c r="E204" s="413">
        <v>2</v>
      </c>
      <c r="F204" s="413" t="s">
        <v>156</v>
      </c>
      <c r="G204" s="413">
        <v>2</v>
      </c>
      <c r="H204" s="413">
        <v>1</v>
      </c>
      <c r="I204" s="413" t="s">
        <v>156</v>
      </c>
      <c r="J204" s="413">
        <v>1</v>
      </c>
      <c r="K204" s="413" t="s">
        <v>156</v>
      </c>
      <c r="L204" s="413">
        <v>5</v>
      </c>
      <c r="M204" s="413">
        <f t="shared" si="6"/>
        <v>12</v>
      </c>
      <c r="N204" s="363">
        <f t="shared" si="7"/>
        <v>1.2523873634115031E-4</v>
      </c>
    </row>
    <row r="205" spans="2:14" ht="14.25" thickTop="1" thickBot="1">
      <c r="B205" s="250">
        <v>21004</v>
      </c>
      <c r="C205" s="272" t="s">
        <v>857</v>
      </c>
      <c r="D205" s="413">
        <v>103</v>
      </c>
      <c r="E205" s="413">
        <v>77</v>
      </c>
      <c r="F205" s="413">
        <v>82</v>
      </c>
      <c r="G205" s="413">
        <v>65</v>
      </c>
      <c r="H205" s="413">
        <v>89</v>
      </c>
      <c r="I205" s="413">
        <v>128</v>
      </c>
      <c r="J205" s="413">
        <v>123</v>
      </c>
      <c r="K205" s="413">
        <v>135</v>
      </c>
      <c r="L205" s="413">
        <v>149</v>
      </c>
      <c r="M205" s="413">
        <f t="shared" si="6"/>
        <v>951</v>
      </c>
      <c r="N205" s="363">
        <f t="shared" si="7"/>
        <v>9.9251698550361627E-3</v>
      </c>
    </row>
    <row r="206" spans="2:14" ht="14.25" thickTop="1" thickBot="1">
      <c r="B206" s="250">
        <v>21005</v>
      </c>
      <c r="C206" s="272" t="s">
        <v>858</v>
      </c>
      <c r="D206" s="413">
        <v>35</v>
      </c>
      <c r="E206" s="413">
        <v>26</v>
      </c>
      <c r="F206" s="413">
        <v>20</v>
      </c>
      <c r="G206" s="413">
        <v>43</v>
      </c>
      <c r="H206" s="413">
        <v>28</v>
      </c>
      <c r="I206" s="413">
        <v>35</v>
      </c>
      <c r="J206" s="413">
        <v>40</v>
      </c>
      <c r="K206" s="413">
        <v>48</v>
      </c>
      <c r="L206" s="413">
        <v>42</v>
      </c>
      <c r="M206" s="413">
        <f t="shared" si="6"/>
        <v>317</v>
      </c>
      <c r="N206" s="363">
        <f t="shared" si="7"/>
        <v>3.3083899516787208E-3</v>
      </c>
    </row>
    <row r="207" spans="2:14" ht="14.25" thickTop="1" thickBot="1">
      <c r="B207" s="250">
        <v>21006</v>
      </c>
      <c r="C207" s="272" t="s">
        <v>859</v>
      </c>
      <c r="D207" s="413">
        <v>71</v>
      </c>
      <c r="E207" s="413">
        <v>72</v>
      </c>
      <c r="F207" s="413">
        <v>108</v>
      </c>
      <c r="G207" s="413">
        <v>59</v>
      </c>
      <c r="H207" s="413">
        <v>60</v>
      </c>
      <c r="I207" s="413">
        <v>72</v>
      </c>
      <c r="J207" s="413">
        <v>76</v>
      </c>
      <c r="K207" s="413">
        <v>81</v>
      </c>
      <c r="L207" s="413">
        <v>101</v>
      </c>
      <c r="M207" s="413">
        <f t="shared" si="6"/>
        <v>700</v>
      </c>
      <c r="N207" s="363">
        <f t="shared" si="7"/>
        <v>7.3055929532337685E-3</v>
      </c>
    </row>
    <row r="208" spans="2:14" ht="14.25" thickTop="1" thickBot="1">
      <c r="B208" s="250">
        <v>21007</v>
      </c>
      <c r="C208" s="272" t="s">
        <v>860</v>
      </c>
      <c r="D208" s="413">
        <v>28</v>
      </c>
      <c r="E208" s="413">
        <v>47</v>
      </c>
      <c r="F208" s="413">
        <v>28</v>
      </c>
      <c r="G208" s="413">
        <v>79</v>
      </c>
      <c r="H208" s="413">
        <v>112</v>
      </c>
      <c r="I208" s="413">
        <v>84</v>
      </c>
      <c r="J208" s="413">
        <v>105</v>
      </c>
      <c r="K208" s="413">
        <v>52</v>
      </c>
      <c r="L208" s="413">
        <v>99</v>
      </c>
      <c r="M208" s="413">
        <f t="shared" si="6"/>
        <v>634</v>
      </c>
      <c r="N208" s="363">
        <f t="shared" si="7"/>
        <v>6.6167799033574415E-3</v>
      </c>
    </row>
    <row r="209" spans="2:14" ht="14.25" thickTop="1" thickBot="1">
      <c r="B209" s="250">
        <v>21008</v>
      </c>
      <c r="C209" s="272" t="s">
        <v>861</v>
      </c>
      <c r="D209" s="413">
        <v>35</v>
      </c>
      <c r="E209" s="413">
        <v>39</v>
      </c>
      <c r="F209" s="413">
        <v>40</v>
      </c>
      <c r="G209" s="413">
        <v>47</v>
      </c>
      <c r="H209" s="413">
        <v>31</v>
      </c>
      <c r="I209" s="413">
        <v>42</v>
      </c>
      <c r="J209" s="413">
        <v>43</v>
      </c>
      <c r="K209" s="413">
        <v>49</v>
      </c>
      <c r="L209" s="413">
        <v>50</v>
      </c>
      <c r="M209" s="413">
        <f t="shared" si="6"/>
        <v>376</v>
      </c>
      <c r="N209" s="363">
        <f t="shared" si="7"/>
        <v>3.9241470720227101E-3</v>
      </c>
    </row>
    <row r="210" spans="2:14" ht="14.25" thickTop="1" thickBot="1">
      <c r="B210" s="250">
        <v>21009</v>
      </c>
      <c r="C210" s="272" t="s">
        <v>862</v>
      </c>
      <c r="D210" s="413">
        <v>23</v>
      </c>
      <c r="E210" s="413">
        <v>27</v>
      </c>
      <c r="F210" s="413">
        <v>13</v>
      </c>
      <c r="G210" s="413">
        <v>27</v>
      </c>
      <c r="H210" s="413">
        <v>29</v>
      </c>
      <c r="I210" s="413">
        <v>39</v>
      </c>
      <c r="J210" s="413">
        <v>34</v>
      </c>
      <c r="K210" s="413">
        <v>37</v>
      </c>
      <c r="L210" s="413">
        <v>45</v>
      </c>
      <c r="M210" s="413">
        <f t="shared" si="6"/>
        <v>274</v>
      </c>
      <c r="N210" s="363">
        <f t="shared" si="7"/>
        <v>2.8596178131229323E-3</v>
      </c>
    </row>
    <row r="211" spans="2:14" ht="14.25" thickTop="1" thickBot="1">
      <c r="B211" s="250">
        <v>21010</v>
      </c>
      <c r="C211" s="272" t="s">
        <v>863</v>
      </c>
      <c r="D211" s="413">
        <v>3</v>
      </c>
      <c r="E211" s="413">
        <v>5</v>
      </c>
      <c r="F211" s="413">
        <v>4</v>
      </c>
      <c r="G211" s="413">
        <v>7</v>
      </c>
      <c r="H211" s="413">
        <v>6</v>
      </c>
      <c r="I211" s="413">
        <v>6</v>
      </c>
      <c r="J211" s="413">
        <v>10</v>
      </c>
      <c r="K211" s="413">
        <v>6</v>
      </c>
      <c r="L211" s="413">
        <v>3</v>
      </c>
      <c r="M211" s="413">
        <f t="shared" si="6"/>
        <v>50</v>
      </c>
      <c r="N211" s="363">
        <f t="shared" si="7"/>
        <v>5.2182806808812629E-4</v>
      </c>
    </row>
    <row r="212" spans="2:14" ht="14.25" thickTop="1" thickBot="1">
      <c r="B212" s="250">
        <v>21011</v>
      </c>
      <c r="C212" s="272" t="s">
        <v>864</v>
      </c>
      <c r="D212" s="413">
        <v>41</v>
      </c>
      <c r="E212" s="413">
        <v>22</v>
      </c>
      <c r="F212" s="413">
        <v>18</v>
      </c>
      <c r="G212" s="413">
        <v>32</v>
      </c>
      <c r="H212" s="413">
        <v>32</v>
      </c>
      <c r="I212" s="413">
        <v>34</v>
      </c>
      <c r="J212" s="413">
        <v>41</v>
      </c>
      <c r="K212" s="413">
        <v>36</v>
      </c>
      <c r="L212" s="413">
        <v>37</v>
      </c>
      <c r="M212" s="413">
        <f t="shared" si="6"/>
        <v>293</v>
      </c>
      <c r="N212" s="363">
        <f t="shared" si="7"/>
        <v>3.0579124789964201E-3</v>
      </c>
    </row>
    <row r="213" spans="2:14" ht="14.25" thickTop="1" thickBot="1">
      <c r="B213" s="250">
        <v>21012</v>
      </c>
      <c r="C213" s="272" t="s">
        <v>751</v>
      </c>
      <c r="D213" s="413">
        <v>11</v>
      </c>
      <c r="E213" s="413">
        <v>9</v>
      </c>
      <c r="F213" s="413">
        <v>3</v>
      </c>
      <c r="G213" s="413">
        <v>11</v>
      </c>
      <c r="H213" s="413">
        <v>32</v>
      </c>
      <c r="I213" s="413">
        <v>18</v>
      </c>
      <c r="J213" s="413">
        <v>12</v>
      </c>
      <c r="K213" s="413">
        <v>11</v>
      </c>
      <c r="L213" s="413">
        <v>19</v>
      </c>
      <c r="M213" s="413">
        <f t="shared" si="6"/>
        <v>126</v>
      </c>
      <c r="N213" s="363">
        <f t="shared" si="7"/>
        <v>1.3150067315820784E-3</v>
      </c>
    </row>
    <row r="214" spans="2:14" ht="14.25" thickTop="1" thickBot="1">
      <c r="B214" s="250">
        <v>21013</v>
      </c>
      <c r="C214" s="272" t="s">
        <v>865</v>
      </c>
      <c r="D214" s="413">
        <v>51</v>
      </c>
      <c r="E214" s="413">
        <v>32</v>
      </c>
      <c r="F214" s="413">
        <v>42</v>
      </c>
      <c r="G214" s="413">
        <v>64</v>
      </c>
      <c r="H214" s="413">
        <v>49</v>
      </c>
      <c r="I214" s="413">
        <v>71</v>
      </c>
      <c r="J214" s="413">
        <v>73</v>
      </c>
      <c r="K214" s="413">
        <v>136</v>
      </c>
      <c r="L214" s="413">
        <v>120</v>
      </c>
      <c r="M214" s="413">
        <f t="shared" si="6"/>
        <v>638</v>
      </c>
      <c r="N214" s="363">
        <f t="shared" si="7"/>
        <v>6.6585261488044918E-3</v>
      </c>
    </row>
    <row r="215" spans="2:14" ht="14.25" thickTop="1" thickBot="1">
      <c r="B215" s="250">
        <v>21101</v>
      </c>
      <c r="C215" s="272" t="s">
        <v>866</v>
      </c>
      <c r="D215" s="413">
        <v>6</v>
      </c>
      <c r="E215" s="413">
        <v>5</v>
      </c>
      <c r="F215" s="413">
        <v>5</v>
      </c>
      <c r="G215" s="413">
        <v>6</v>
      </c>
      <c r="H215" s="413">
        <v>5</v>
      </c>
      <c r="I215" s="413">
        <v>3</v>
      </c>
      <c r="J215" s="413">
        <v>6</v>
      </c>
      <c r="K215" s="413">
        <v>6</v>
      </c>
      <c r="L215" s="413">
        <v>10</v>
      </c>
      <c r="M215" s="413">
        <f t="shared" si="6"/>
        <v>52</v>
      </c>
      <c r="N215" s="363">
        <f t="shared" si="7"/>
        <v>5.4270119081165134E-4</v>
      </c>
    </row>
    <row r="216" spans="2:14" ht="14.25" thickTop="1" thickBot="1">
      <c r="B216" s="250">
        <v>21102</v>
      </c>
      <c r="C216" s="272" t="s">
        <v>867</v>
      </c>
      <c r="D216" s="413">
        <v>2</v>
      </c>
      <c r="E216" s="413">
        <v>3</v>
      </c>
      <c r="F216" s="413">
        <v>5</v>
      </c>
      <c r="G216" s="413">
        <v>2</v>
      </c>
      <c r="H216" s="413">
        <v>1</v>
      </c>
      <c r="I216" s="413">
        <v>4</v>
      </c>
      <c r="J216" s="413">
        <v>3</v>
      </c>
      <c r="K216" s="413">
        <v>3</v>
      </c>
      <c r="L216" s="413">
        <v>2</v>
      </c>
      <c r="M216" s="413">
        <f t="shared" si="6"/>
        <v>25</v>
      </c>
      <c r="N216" s="363">
        <f t="shared" si="7"/>
        <v>2.6091403404406314E-4</v>
      </c>
    </row>
    <row r="217" spans="2:14" ht="14.25" thickTop="1" thickBot="1">
      <c r="B217" s="250">
        <v>21103</v>
      </c>
      <c r="C217" s="272" t="s">
        <v>868</v>
      </c>
      <c r="D217" s="413">
        <v>5</v>
      </c>
      <c r="E217" s="413">
        <v>5</v>
      </c>
      <c r="F217" s="413">
        <v>5</v>
      </c>
      <c r="G217" s="413">
        <v>1</v>
      </c>
      <c r="H217" s="413">
        <v>6</v>
      </c>
      <c r="I217" s="413">
        <v>2</v>
      </c>
      <c r="J217" s="413">
        <v>2</v>
      </c>
      <c r="K217" s="413">
        <v>6</v>
      </c>
      <c r="L217" s="413">
        <v>6</v>
      </c>
      <c r="M217" s="413">
        <f t="shared" si="6"/>
        <v>38</v>
      </c>
      <c r="N217" s="363">
        <f t="shared" si="7"/>
        <v>3.9658933174697601E-4</v>
      </c>
    </row>
    <row r="218" spans="2:14" ht="14.25" thickTop="1" thickBot="1">
      <c r="B218" s="250">
        <v>21104</v>
      </c>
      <c r="C218" s="272" t="s">
        <v>760</v>
      </c>
      <c r="D218" s="413">
        <v>5</v>
      </c>
      <c r="E218" s="413">
        <v>6</v>
      </c>
      <c r="F218" s="413">
        <v>5</v>
      </c>
      <c r="G218" s="413">
        <v>4</v>
      </c>
      <c r="H218" s="413">
        <v>1</v>
      </c>
      <c r="I218" s="413">
        <v>1</v>
      </c>
      <c r="J218" s="413">
        <v>4</v>
      </c>
      <c r="K218" s="413">
        <v>2</v>
      </c>
      <c r="L218" s="413">
        <v>3</v>
      </c>
      <c r="M218" s="413">
        <f t="shared" si="6"/>
        <v>31</v>
      </c>
      <c r="N218" s="363">
        <f t="shared" si="7"/>
        <v>3.2353340221463831E-4</v>
      </c>
    </row>
    <row r="219" spans="2:14" ht="14.25" thickTop="1" thickBot="1">
      <c r="B219" s="250">
        <v>21105</v>
      </c>
      <c r="C219" s="272" t="s">
        <v>869</v>
      </c>
      <c r="D219" s="413">
        <v>10</v>
      </c>
      <c r="E219" s="413">
        <v>3</v>
      </c>
      <c r="F219" s="413">
        <v>4</v>
      </c>
      <c r="G219" s="413">
        <v>4</v>
      </c>
      <c r="H219" s="413">
        <v>2</v>
      </c>
      <c r="I219" s="413">
        <v>6</v>
      </c>
      <c r="J219" s="413">
        <v>5</v>
      </c>
      <c r="K219" s="413">
        <v>5</v>
      </c>
      <c r="L219" s="413">
        <v>2</v>
      </c>
      <c r="M219" s="413">
        <f t="shared" si="6"/>
        <v>41</v>
      </c>
      <c r="N219" s="363">
        <f t="shared" si="7"/>
        <v>4.2789901583226359E-4</v>
      </c>
    </row>
    <row r="220" spans="2:14" ht="14.25" thickTop="1" thickBot="1">
      <c r="B220" s="250">
        <v>21106</v>
      </c>
      <c r="C220" s="272" t="s">
        <v>719</v>
      </c>
      <c r="D220" s="413">
        <v>1</v>
      </c>
      <c r="E220" s="413">
        <v>1</v>
      </c>
      <c r="F220" s="413" t="s">
        <v>156</v>
      </c>
      <c r="G220" s="413" t="s">
        <v>156</v>
      </c>
      <c r="H220" s="413" t="s">
        <v>156</v>
      </c>
      <c r="I220" s="413" t="s">
        <v>156</v>
      </c>
      <c r="J220" s="413">
        <v>1</v>
      </c>
      <c r="K220" s="413" t="s">
        <v>156</v>
      </c>
      <c r="L220" s="413">
        <v>1</v>
      </c>
      <c r="M220" s="413">
        <f t="shared" si="6"/>
        <v>4</v>
      </c>
      <c r="N220" s="363">
        <f t="shared" si="7"/>
        <v>4.1746245447050105E-5</v>
      </c>
    </row>
    <row r="221" spans="2:14" ht="14.25" thickTop="1" thickBot="1">
      <c r="B221" s="250">
        <v>21107</v>
      </c>
      <c r="C221" s="272" t="s">
        <v>870</v>
      </c>
      <c r="D221" s="413">
        <v>6</v>
      </c>
      <c r="E221" s="413">
        <v>3</v>
      </c>
      <c r="F221" s="413">
        <v>3</v>
      </c>
      <c r="G221" s="413">
        <v>10</v>
      </c>
      <c r="H221" s="413">
        <v>7</v>
      </c>
      <c r="I221" s="413">
        <v>4</v>
      </c>
      <c r="J221" s="413">
        <v>2</v>
      </c>
      <c r="K221" s="413">
        <v>5</v>
      </c>
      <c r="L221" s="413">
        <v>5</v>
      </c>
      <c r="M221" s="413">
        <f t="shared" si="6"/>
        <v>45</v>
      </c>
      <c r="N221" s="363">
        <f t="shared" si="7"/>
        <v>4.696452612793137E-4</v>
      </c>
    </row>
    <row r="222" spans="2:14" ht="14.25" thickTop="1" thickBot="1">
      <c r="B222" s="250">
        <v>21201</v>
      </c>
      <c r="C222" s="272" t="s">
        <v>871</v>
      </c>
      <c r="D222" s="413">
        <v>26</v>
      </c>
      <c r="E222" s="413">
        <v>24</v>
      </c>
      <c r="F222" s="413">
        <v>88</v>
      </c>
      <c r="G222" s="413">
        <v>43</v>
      </c>
      <c r="H222" s="413">
        <v>13</v>
      </c>
      <c r="I222" s="413">
        <v>17</v>
      </c>
      <c r="J222" s="413">
        <v>25</v>
      </c>
      <c r="K222" s="413">
        <v>20</v>
      </c>
      <c r="L222" s="413">
        <v>20</v>
      </c>
      <c r="M222" s="413">
        <f t="shared" si="6"/>
        <v>276</v>
      </c>
      <c r="N222" s="363">
        <f t="shared" si="7"/>
        <v>2.8804909358464575E-3</v>
      </c>
    </row>
    <row r="223" spans="2:14" ht="14.25" thickTop="1" thickBot="1">
      <c r="B223" s="250">
        <v>21202</v>
      </c>
      <c r="C223" s="272" t="s">
        <v>872</v>
      </c>
      <c r="D223" s="413">
        <v>20</v>
      </c>
      <c r="E223" s="413">
        <v>14</v>
      </c>
      <c r="F223" s="413">
        <v>10</v>
      </c>
      <c r="G223" s="413">
        <v>15</v>
      </c>
      <c r="H223" s="413">
        <v>9</v>
      </c>
      <c r="I223" s="413">
        <v>13</v>
      </c>
      <c r="J223" s="413">
        <v>31</v>
      </c>
      <c r="K223" s="413">
        <v>9</v>
      </c>
      <c r="L223" s="413">
        <v>17</v>
      </c>
      <c r="M223" s="413">
        <f t="shared" si="6"/>
        <v>138</v>
      </c>
      <c r="N223" s="363">
        <f t="shared" si="7"/>
        <v>1.4402454679232287E-3</v>
      </c>
    </row>
    <row r="224" spans="2:14" ht="14.25" thickTop="1" thickBot="1">
      <c r="B224" s="250">
        <v>21203</v>
      </c>
      <c r="C224" s="272" t="s">
        <v>873</v>
      </c>
      <c r="D224" s="413">
        <v>1</v>
      </c>
      <c r="E224" s="413" t="s">
        <v>156</v>
      </c>
      <c r="F224" s="413">
        <v>1</v>
      </c>
      <c r="G224" s="413" t="s">
        <v>156</v>
      </c>
      <c r="H224" s="413" t="s">
        <v>156</v>
      </c>
      <c r="I224" s="413" t="s">
        <v>156</v>
      </c>
      <c r="J224" s="413">
        <v>1</v>
      </c>
      <c r="K224" s="413" t="s">
        <v>156</v>
      </c>
      <c r="L224" s="413" t="s">
        <v>156</v>
      </c>
      <c r="M224" s="413">
        <f t="shared" si="6"/>
        <v>3</v>
      </c>
      <c r="N224" s="363">
        <f t="shared" si="7"/>
        <v>3.1309684085287577E-5</v>
      </c>
    </row>
    <row r="225" spans="2:14" ht="14.25" thickTop="1" thickBot="1">
      <c r="B225" s="250">
        <v>21204</v>
      </c>
      <c r="C225" s="272" t="s">
        <v>790</v>
      </c>
      <c r="D225" s="413">
        <v>20</v>
      </c>
      <c r="E225" s="413">
        <v>18</v>
      </c>
      <c r="F225" s="413">
        <v>17</v>
      </c>
      <c r="G225" s="413">
        <v>15</v>
      </c>
      <c r="H225" s="413">
        <v>10</v>
      </c>
      <c r="I225" s="413">
        <v>13</v>
      </c>
      <c r="J225" s="413">
        <v>13</v>
      </c>
      <c r="K225" s="413">
        <v>12</v>
      </c>
      <c r="L225" s="413">
        <v>14</v>
      </c>
      <c r="M225" s="413">
        <f t="shared" si="6"/>
        <v>132</v>
      </c>
      <c r="N225" s="363">
        <f t="shared" si="7"/>
        <v>1.3776260997526535E-3</v>
      </c>
    </row>
    <row r="226" spans="2:14" ht="14.25" thickTop="1" thickBot="1">
      <c r="B226" s="250">
        <v>21205</v>
      </c>
      <c r="C226" s="272" t="s">
        <v>874</v>
      </c>
      <c r="D226" s="413">
        <v>12</v>
      </c>
      <c r="E226" s="413">
        <v>9</v>
      </c>
      <c r="F226" s="413">
        <v>14</v>
      </c>
      <c r="G226" s="413">
        <v>14</v>
      </c>
      <c r="H226" s="413">
        <v>10</v>
      </c>
      <c r="I226" s="413">
        <v>7</v>
      </c>
      <c r="J226" s="413">
        <v>8</v>
      </c>
      <c r="K226" s="413">
        <v>6</v>
      </c>
      <c r="L226" s="413">
        <v>8</v>
      </c>
      <c r="M226" s="413">
        <f t="shared" si="6"/>
        <v>88</v>
      </c>
      <c r="N226" s="363">
        <f t="shared" si="7"/>
        <v>9.1841739983510235E-4</v>
      </c>
    </row>
    <row r="227" spans="2:14" ht="14.25" thickTop="1" thickBot="1">
      <c r="B227" s="250">
        <v>21301</v>
      </c>
      <c r="C227" s="272" t="s">
        <v>55</v>
      </c>
      <c r="D227" s="413">
        <v>67</v>
      </c>
      <c r="E227" s="413">
        <v>74</v>
      </c>
      <c r="F227" s="413">
        <v>69</v>
      </c>
      <c r="G227" s="413">
        <v>92</v>
      </c>
      <c r="H227" s="413">
        <v>54</v>
      </c>
      <c r="I227" s="413">
        <v>144</v>
      </c>
      <c r="J227" s="413">
        <v>121</v>
      </c>
      <c r="K227" s="413">
        <v>84</v>
      </c>
      <c r="L227" s="413">
        <v>92</v>
      </c>
      <c r="M227" s="413">
        <f t="shared" si="6"/>
        <v>797</v>
      </c>
      <c r="N227" s="363">
        <f t="shared" si="7"/>
        <v>8.3179394053247337E-3</v>
      </c>
    </row>
    <row r="228" spans="2:14" ht="14.25" thickTop="1" thickBot="1">
      <c r="B228" s="250">
        <v>21302</v>
      </c>
      <c r="C228" s="272" t="s">
        <v>875</v>
      </c>
      <c r="D228" s="413">
        <v>31</v>
      </c>
      <c r="E228" s="413">
        <v>21</v>
      </c>
      <c r="F228" s="413">
        <v>39</v>
      </c>
      <c r="G228" s="413">
        <v>27</v>
      </c>
      <c r="H228" s="413">
        <v>19</v>
      </c>
      <c r="I228" s="413">
        <v>22</v>
      </c>
      <c r="J228" s="413">
        <v>31</v>
      </c>
      <c r="K228" s="413">
        <v>35</v>
      </c>
      <c r="L228" s="413">
        <v>18</v>
      </c>
      <c r="M228" s="413">
        <f t="shared" si="6"/>
        <v>243</v>
      </c>
      <c r="N228" s="363">
        <f t="shared" si="7"/>
        <v>2.536084410908294E-3</v>
      </c>
    </row>
    <row r="229" spans="2:14" ht="14.25" thickTop="1" thickBot="1">
      <c r="B229" s="250">
        <v>21303</v>
      </c>
      <c r="C229" s="272" t="s">
        <v>876</v>
      </c>
      <c r="D229" s="413">
        <v>39</v>
      </c>
      <c r="E229" s="413">
        <v>41</v>
      </c>
      <c r="F229" s="413">
        <v>50</v>
      </c>
      <c r="G229" s="413">
        <v>63</v>
      </c>
      <c r="H229" s="413">
        <v>65</v>
      </c>
      <c r="I229" s="413">
        <v>105</v>
      </c>
      <c r="J229" s="413">
        <v>113</v>
      </c>
      <c r="K229" s="413">
        <v>128</v>
      </c>
      <c r="L229" s="413">
        <v>109</v>
      </c>
      <c r="M229" s="413">
        <f t="shared" si="6"/>
        <v>713</v>
      </c>
      <c r="N229" s="363">
        <f t="shared" si="7"/>
        <v>7.4412682509366812E-3</v>
      </c>
    </row>
    <row r="230" spans="2:14" ht="14.25" thickTop="1" thickBot="1">
      <c r="B230" s="250">
        <v>21304</v>
      </c>
      <c r="C230" s="272" t="s">
        <v>877</v>
      </c>
      <c r="D230" s="413">
        <v>14</v>
      </c>
      <c r="E230" s="413">
        <v>4</v>
      </c>
      <c r="F230" s="413">
        <v>14</v>
      </c>
      <c r="G230" s="413">
        <v>17</v>
      </c>
      <c r="H230" s="413">
        <v>18</v>
      </c>
      <c r="I230" s="413">
        <v>33</v>
      </c>
      <c r="J230" s="413">
        <v>20</v>
      </c>
      <c r="K230" s="413">
        <v>34</v>
      </c>
      <c r="L230" s="413">
        <v>24</v>
      </c>
      <c r="M230" s="413">
        <f t="shared" si="6"/>
        <v>178</v>
      </c>
      <c r="N230" s="363">
        <f t="shared" si="7"/>
        <v>1.8577079223937296E-3</v>
      </c>
    </row>
    <row r="231" spans="2:14" ht="14.25" thickTop="1" thickBot="1">
      <c r="B231" s="250">
        <v>21305</v>
      </c>
      <c r="C231" s="272" t="s">
        <v>878</v>
      </c>
      <c r="D231" s="413">
        <v>15</v>
      </c>
      <c r="E231" s="413">
        <v>25</v>
      </c>
      <c r="F231" s="413">
        <v>20</v>
      </c>
      <c r="G231" s="413">
        <v>20</v>
      </c>
      <c r="H231" s="413">
        <v>21</v>
      </c>
      <c r="I231" s="413">
        <v>38</v>
      </c>
      <c r="J231" s="413">
        <v>36</v>
      </c>
      <c r="K231" s="413">
        <v>47</v>
      </c>
      <c r="L231" s="413">
        <v>54</v>
      </c>
      <c r="M231" s="413">
        <f t="shared" si="6"/>
        <v>276</v>
      </c>
      <c r="N231" s="363">
        <f t="shared" si="7"/>
        <v>2.8804909358464575E-3</v>
      </c>
    </row>
    <row r="232" spans="2:14" ht="14.25" thickTop="1" thickBot="1">
      <c r="B232" s="250">
        <v>21306</v>
      </c>
      <c r="C232" s="272" t="s">
        <v>879</v>
      </c>
      <c r="D232" s="413">
        <v>74</v>
      </c>
      <c r="E232" s="413">
        <v>14</v>
      </c>
      <c r="F232" s="413">
        <v>10</v>
      </c>
      <c r="G232" s="413">
        <v>22</v>
      </c>
      <c r="H232" s="413">
        <v>8</v>
      </c>
      <c r="I232" s="413">
        <v>39</v>
      </c>
      <c r="J232" s="413">
        <v>24</v>
      </c>
      <c r="K232" s="413">
        <v>33</v>
      </c>
      <c r="L232" s="413">
        <v>15</v>
      </c>
      <c r="M232" s="413">
        <f t="shared" si="6"/>
        <v>239</v>
      </c>
      <c r="N232" s="363">
        <f t="shared" si="7"/>
        <v>2.4943381654612437E-3</v>
      </c>
    </row>
    <row r="233" spans="2:14" ht="14.25" thickTop="1" thickBot="1">
      <c r="B233" s="250">
        <v>21307</v>
      </c>
      <c r="C233" s="272" t="s">
        <v>880</v>
      </c>
      <c r="D233" s="413">
        <v>8</v>
      </c>
      <c r="E233" s="413">
        <v>8</v>
      </c>
      <c r="F233" s="413">
        <v>15</v>
      </c>
      <c r="G233" s="413">
        <v>43</v>
      </c>
      <c r="H233" s="413">
        <v>23</v>
      </c>
      <c r="I233" s="413">
        <v>50</v>
      </c>
      <c r="J233" s="413">
        <v>76</v>
      </c>
      <c r="K233" s="413">
        <v>62</v>
      </c>
      <c r="L233" s="413">
        <v>52</v>
      </c>
      <c r="M233" s="413">
        <f t="shared" si="6"/>
        <v>337</v>
      </c>
      <c r="N233" s="363">
        <f t="shared" si="7"/>
        <v>3.5171211789139715E-3</v>
      </c>
    </row>
    <row r="234" spans="2:14" ht="14.25" thickTop="1" thickBot="1">
      <c r="B234" s="250">
        <v>21308</v>
      </c>
      <c r="C234" s="272" t="s">
        <v>881</v>
      </c>
      <c r="D234" s="413" t="s">
        <v>156</v>
      </c>
      <c r="E234" s="413" t="s">
        <v>156</v>
      </c>
      <c r="F234" s="413" t="s">
        <v>156</v>
      </c>
      <c r="G234" s="413" t="s">
        <v>156</v>
      </c>
      <c r="H234" s="413" t="s">
        <v>156</v>
      </c>
      <c r="I234" s="413">
        <v>1</v>
      </c>
      <c r="J234" s="413">
        <v>26</v>
      </c>
      <c r="K234" s="413">
        <v>17</v>
      </c>
      <c r="L234" s="413">
        <v>78</v>
      </c>
      <c r="M234" s="413">
        <f t="shared" si="6"/>
        <v>122</v>
      </c>
      <c r="N234" s="363">
        <f t="shared" si="7"/>
        <v>1.2732604861350283E-3</v>
      </c>
    </row>
    <row r="235" spans="2:14" ht="14.25" thickTop="1" thickBot="1">
      <c r="B235" s="250">
        <v>21401</v>
      </c>
      <c r="C235" s="272" t="s">
        <v>56</v>
      </c>
      <c r="D235" s="413">
        <v>56</v>
      </c>
      <c r="E235" s="413">
        <v>96</v>
      </c>
      <c r="F235" s="413">
        <v>85</v>
      </c>
      <c r="G235" s="413">
        <v>69</v>
      </c>
      <c r="H235" s="413">
        <v>27</v>
      </c>
      <c r="I235" s="413">
        <v>57</v>
      </c>
      <c r="J235" s="413">
        <v>61</v>
      </c>
      <c r="K235" s="413">
        <v>69</v>
      </c>
      <c r="L235" s="413">
        <v>112</v>
      </c>
      <c r="M235" s="413">
        <f t="shared" si="6"/>
        <v>632</v>
      </c>
      <c r="N235" s="363">
        <f t="shared" si="7"/>
        <v>6.5959067806339164E-3</v>
      </c>
    </row>
    <row r="236" spans="2:14" ht="14.25" thickTop="1" thickBot="1">
      <c r="B236" s="250">
        <v>21402</v>
      </c>
      <c r="C236" s="272" t="s">
        <v>882</v>
      </c>
      <c r="D236" s="413">
        <v>22</v>
      </c>
      <c r="E236" s="413">
        <v>1</v>
      </c>
      <c r="F236" s="413">
        <v>10</v>
      </c>
      <c r="G236" s="413">
        <v>8</v>
      </c>
      <c r="H236" s="413">
        <v>9</v>
      </c>
      <c r="I236" s="413">
        <v>6</v>
      </c>
      <c r="J236" s="413">
        <v>7</v>
      </c>
      <c r="K236" s="413">
        <v>7</v>
      </c>
      <c r="L236" s="413">
        <v>5</v>
      </c>
      <c r="M236" s="413">
        <f t="shared" si="6"/>
        <v>75</v>
      </c>
      <c r="N236" s="363">
        <f t="shared" si="7"/>
        <v>7.8274210213218943E-4</v>
      </c>
    </row>
    <row r="237" spans="2:14" ht="14.25" thickTop="1" thickBot="1">
      <c r="B237" s="250">
        <v>21403</v>
      </c>
      <c r="C237" s="272" t="s">
        <v>883</v>
      </c>
      <c r="D237" s="413">
        <v>17</v>
      </c>
      <c r="E237" s="413">
        <v>18</v>
      </c>
      <c r="F237" s="413">
        <v>21</v>
      </c>
      <c r="G237" s="413">
        <v>21</v>
      </c>
      <c r="H237" s="413">
        <v>35</v>
      </c>
      <c r="I237" s="413">
        <v>35</v>
      </c>
      <c r="J237" s="413">
        <v>29</v>
      </c>
      <c r="K237" s="413">
        <v>36</v>
      </c>
      <c r="L237" s="413">
        <v>56</v>
      </c>
      <c r="M237" s="413">
        <f t="shared" si="6"/>
        <v>268</v>
      </c>
      <c r="N237" s="363">
        <f t="shared" si="7"/>
        <v>2.7969984449523573E-3</v>
      </c>
    </row>
    <row r="238" spans="2:14" ht="14.25" thickTop="1" thickBot="1">
      <c r="B238" s="250">
        <v>21404</v>
      </c>
      <c r="C238" s="272" t="s">
        <v>884</v>
      </c>
      <c r="D238" s="413">
        <v>8</v>
      </c>
      <c r="E238" s="413">
        <v>9</v>
      </c>
      <c r="F238" s="413">
        <v>6</v>
      </c>
      <c r="G238" s="413">
        <v>11</v>
      </c>
      <c r="H238" s="413">
        <v>15</v>
      </c>
      <c r="I238" s="413">
        <v>7</v>
      </c>
      <c r="J238" s="413">
        <v>12</v>
      </c>
      <c r="K238" s="413">
        <v>14</v>
      </c>
      <c r="L238" s="413">
        <v>11</v>
      </c>
      <c r="M238" s="413">
        <f t="shared" si="6"/>
        <v>93</v>
      </c>
      <c r="N238" s="363">
        <f t="shared" si="7"/>
        <v>9.7060020664391494E-4</v>
      </c>
    </row>
    <row r="239" spans="2:14" ht="14.25" thickTop="1" thickBot="1">
      <c r="B239" s="250">
        <v>21501</v>
      </c>
      <c r="C239" s="272" t="s">
        <v>18</v>
      </c>
      <c r="D239" s="413">
        <v>185</v>
      </c>
      <c r="E239" s="413">
        <v>54</v>
      </c>
      <c r="F239" s="413">
        <v>47</v>
      </c>
      <c r="G239" s="413">
        <v>44</v>
      </c>
      <c r="H239" s="413">
        <v>64</v>
      </c>
      <c r="I239" s="413">
        <v>42</v>
      </c>
      <c r="J239" s="413">
        <v>29</v>
      </c>
      <c r="K239" s="413">
        <v>25</v>
      </c>
      <c r="L239" s="413">
        <v>25</v>
      </c>
      <c r="M239" s="413">
        <f t="shared" si="6"/>
        <v>515</v>
      </c>
      <c r="N239" s="363">
        <f t="shared" si="7"/>
        <v>5.3748291013077012E-3</v>
      </c>
    </row>
    <row r="240" spans="2:14" ht="14.25" thickTop="1" thickBot="1">
      <c r="B240" s="250">
        <v>21502</v>
      </c>
      <c r="C240" s="272" t="s">
        <v>856</v>
      </c>
      <c r="D240" s="413">
        <v>20</v>
      </c>
      <c r="E240" s="413">
        <v>15</v>
      </c>
      <c r="F240" s="413">
        <v>17</v>
      </c>
      <c r="G240" s="413">
        <v>36</v>
      </c>
      <c r="H240" s="413">
        <v>18</v>
      </c>
      <c r="I240" s="413">
        <v>26</v>
      </c>
      <c r="J240" s="413">
        <v>19</v>
      </c>
      <c r="K240" s="413">
        <v>18</v>
      </c>
      <c r="L240" s="413">
        <v>10</v>
      </c>
      <c r="M240" s="413">
        <f t="shared" si="6"/>
        <v>179</v>
      </c>
      <c r="N240" s="363">
        <f t="shared" si="7"/>
        <v>1.8681444837554922E-3</v>
      </c>
    </row>
    <row r="241" spans="2:14" ht="14.25" thickTop="1" thickBot="1">
      <c r="B241" s="250">
        <v>21503</v>
      </c>
      <c r="C241" s="272" t="s">
        <v>885</v>
      </c>
      <c r="D241" s="413">
        <v>2</v>
      </c>
      <c r="E241" s="413">
        <v>2</v>
      </c>
      <c r="F241" s="413">
        <v>1</v>
      </c>
      <c r="G241" s="413">
        <v>6</v>
      </c>
      <c r="H241" s="413">
        <v>2</v>
      </c>
      <c r="I241" s="413">
        <v>4</v>
      </c>
      <c r="J241" s="413">
        <v>6</v>
      </c>
      <c r="K241" s="413">
        <v>6</v>
      </c>
      <c r="L241" s="413">
        <v>4</v>
      </c>
      <c r="M241" s="413">
        <f t="shared" si="6"/>
        <v>33</v>
      </c>
      <c r="N241" s="363">
        <f t="shared" si="7"/>
        <v>3.4440652493816337E-4</v>
      </c>
    </row>
    <row r="242" spans="2:14" ht="14.25" thickTop="1" thickBot="1">
      <c r="B242" s="250">
        <v>21504</v>
      </c>
      <c r="C242" s="272" t="s">
        <v>886</v>
      </c>
      <c r="D242" s="413">
        <v>2</v>
      </c>
      <c r="E242" s="413">
        <v>1</v>
      </c>
      <c r="F242" s="413">
        <v>10</v>
      </c>
      <c r="G242" s="413">
        <v>7</v>
      </c>
      <c r="H242" s="413">
        <v>55</v>
      </c>
      <c r="I242" s="413">
        <v>67</v>
      </c>
      <c r="J242" s="413">
        <v>81</v>
      </c>
      <c r="K242" s="413">
        <v>25</v>
      </c>
      <c r="L242" s="413">
        <v>19</v>
      </c>
      <c r="M242" s="413">
        <f t="shared" si="6"/>
        <v>267</v>
      </c>
      <c r="N242" s="363">
        <f t="shared" si="7"/>
        <v>2.7865618835905947E-3</v>
      </c>
    </row>
    <row r="243" spans="2:14" ht="14.25" thickTop="1" thickBot="1">
      <c r="B243" s="250">
        <v>21601</v>
      </c>
      <c r="C243" s="272" t="s">
        <v>832</v>
      </c>
      <c r="D243" s="413" t="s">
        <v>156</v>
      </c>
      <c r="E243" s="413" t="s">
        <v>156</v>
      </c>
      <c r="F243" s="413" t="s">
        <v>156</v>
      </c>
      <c r="G243" s="413" t="s">
        <v>156</v>
      </c>
      <c r="H243" s="413" t="s">
        <v>156</v>
      </c>
      <c r="I243" s="413" t="s">
        <v>156</v>
      </c>
      <c r="J243" s="413" t="s">
        <v>156</v>
      </c>
      <c r="K243" s="413" t="s">
        <v>156</v>
      </c>
      <c r="L243" s="413" t="s">
        <v>156</v>
      </c>
      <c r="M243" s="413">
        <f t="shared" si="6"/>
        <v>0</v>
      </c>
      <c r="N243" s="363">
        <f t="shared" si="7"/>
        <v>0</v>
      </c>
    </row>
    <row r="244" spans="2:14" ht="14.25" thickTop="1" thickBot="1">
      <c r="B244" s="250">
        <v>30101</v>
      </c>
      <c r="C244" s="272" t="s">
        <v>887</v>
      </c>
      <c r="D244" s="413">
        <v>4</v>
      </c>
      <c r="E244" s="413">
        <v>4</v>
      </c>
      <c r="F244" s="413">
        <v>8</v>
      </c>
      <c r="G244" s="413">
        <v>4</v>
      </c>
      <c r="H244" s="413">
        <v>7</v>
      </c>
      <c r="I244" s="413">
        <v>5</v>
      </c>
      <c r="J244" s="413">
        <v>4</v>
      </c>
      <c r="K244" s="413">
        <v>3</v>
      </c>
      <c r="L244" s="413">
        <v>9</v>
      </c>
      <c r="M244" s="413">
        <f t="shared" si="6"/>
        <v>48</v>
      </c>
      <c r="N244" s="363">
        <f t="shared" si="7"/>
        <v>5.0095494536460123E-4</v>
      </c>
    </row>
    <row r="245" spans="2:14" ht="14.25" thickTop="1" thickBot="1">
      <c r="B245" s="250">
        <v>30102</v>
      </c>
      <c r="C245" s="272" t="s">
        <v>888</v>
      </c>
      <c r="D245" s="413">
        <v>2</v>
      </c>
      <c r="E245" s="413">
        <v>3</v>
      </c>
      <c r="F245" s="413">
        <v>2</v>
      </c>
      <c r="G245" s="413">
        <v>2</v>
      </c>
      <c r="H245" s="413">
        <v>1</v>
      </c>
      <c r="I245" s="413">
        <v>3</v>
      </c>
      <c r="J245" s="413">
        <v>1</v>
      </c>
      <c r="K245" s="413">
        <v>1</v>
      </c>
      <c r="L245" s="413">
        <v>3</v>
      </c>
      <c r="M245" s="413">
        <f t="shared" si="6"/>
        <v>18</v>
      </c>
      <c r="N245" s="363">
        <f t="shared" si="7"/>
        <v>1.8785810451172548E-4</v>
      </c>
    </row>
    <row r="246" spans="2:14" ht="14.25" thickTop="1" thickBot="1">
      <c r="B246" s="250">
        <v>30103</v>
      </c>
      <c r="C246" s="272" t="s">
        <v>715</v>
      </c>
      <c r="D246" s="413">
        <v>10</v>
      </c>
      <c r="E246" s="413">
        <v>23</v>
      </c>
      <c r="F246" s="413">
        <v>9</v>
      </c>
      <c r="G246" s="413">
        <v>17</v>
      </c>
      <c r="H246" s="413">
        <v>13</v>
      </c>
      <c r="I246" s="413">
        <v>16</v>
      </c>
      <c r="J246" s="413">
        <v>16</v>
      </c>
      <c r="K246" s="413">
        <v>13</v>
      </c>
      <c r="L246" s="413">
        <v>15</v>
      </c>
      <c r="M246" s="413">
        <f t="shared" si="6"/>
        <v>132</v>
      </c>
      <c r="N246" s="363">
        <f t="shared" si="7"/>
        <v>1.3776260997526535E-3</v>
      </c>
    </row>
    <row r="247" spans="2:14" ht="14.25" thickTop="1" thickBot="1">
      <c r="B247" s="250">
        <v>30104</v>
      </c>
      <c r="C247" s="272" t="s">
        <v>889</v>
      </c>
      <c r="D247" s="413">
        <v>34</v>
      </c>
      <c r="E247" s="413">
        <v>27</v>
      </c>
      <c r="F247" s="413">
        <v>28</v>
      </c>
      <c r="G247" s="413">
        <v>32</v>
      </c>
      <c r="H247" s="413">
        <v>31</v>
      </c>
      <c r="I247" s="413">
        <v>28</v>
      </c>
      <c r="J247" s="413">
        <v>36</v>
      </c>
      <c r="K247" s="413">
        <v>29</v>
      </c>
      <c r="L247" s="413">
        <v>26</v>
      </c>
      <c r="M247" s="413">
        <f t="shared" si="6"/>
        <v>271</v>
      </c>
      <c r="N247" s="363">
        <f t="shared" si="7"/>
        <v>2.8283081290376446E-3</v>
      </c>
    </row>
    <row r="248" spans="2:14" ht="14.25" thickTop="1" thickBot="1">
      <c r="B248" s="250">
        <v>30105</v>
      </c>
      <c r="C248" s="272" t="s">
        <v>890</v>
      </c>
      <c r="D248" s="413">
        <v>79</v>
      </c>
      <c r="E248" s="413">
        <v>99</v>
      </c>
      <c r="F248" s="413">
        <v>124</v>
      </c>
      <c r="G248" s="413">
        <v>343</v>
      </c>
      <c r="H248" s="413">
        <v>43</v>
      </c>
      <c r="I248" s="413">
        <v>35</v>
      </c>
      <c r="J248" s="413">
        <v>44</v>
      </c>
      <c r="K248" s="413">
        <v>36</v>
      </c>
      <c r="L248" s="413">
        <v>52</v>
      </c>
      <c r="M248" s="413">
        <f t="shared" si="6"/>
        <v>855</v>
      </c>
      <c r="N248" s="363">
        <f t="shared" si="7"/>
        <v>8.92325996430696E-3</v>
      </c>
    </row>
    <row r="249" spans="2:14" ht="14.25" thickTop="1" thickBot="1">
      <c r="B249" s="250">
        <v>30106</v>
      </c>
      <c r="C249" s="272" t="s">
        <v>891</v>
      </c>
      <c r="D249" s="413">
        <v>10</v>
      </c>
      <c r="E249" s="413">
        <v>10</v>
      </c>
      <c r="F249" s="413">
        <v>12</v>
      </c>
      <c r="G249" s="413">
        <v>8</v>
      </c>
      <c r="H249" s="413">
        <v>6</v>
      </c>
      <c r="I249" s="413">
        <v>5</v>
      </c>
      <c r="J249" s="413">
        <v>5</v>
      </c>
      <c r="K249" s="413">
        <v>6</v>
      </c>
      <c r="L249" s="413">
        <v>8</v>
      </c>
      <c r="M249" s="413">
        <f t="shared" si="6"/>
        <v>70</v>
      </c>
      <c r="N249" s="363">
        <f t="shared" si="7"/>
        <v>7.3055929532337685E-4</v>
      </c>
    </row>
    <row r="250" spans="2:14" ht="14.25" thickTop="1" thickBot="1">
      <c r="B250" s="250">
        <v>30107</v>
      </c>
      <c r="C250" s="272" t="s">
        <v>892</v>
      </c>
      <c r="D250" s="413">
        <v>29</v>
      </c>
      <c r="E250" s="413">
        <v>23</v>
      </c>
      <c r="F250" s="413">
        <v>25</v>
      </c>
      <c r="G250" s="413">
        <v>27</v>
      </c>
      <c r="H250" s="413">
        <v>22</v>
      </c>
      <c r="I250" s="413">
        <v>15</v>
      </c>
      <c r="J250" s="413">
        <v>20</v>
      </c>
      <c r="K250" s="413">
        <v>21</v>
      </c>
      <c r="L250" s="413">
        <v>23</v>
      </c>
      <c r="M250" s="413">
        <f t="shared" si="6"/>
        <v>205</v>
      </c>
      <c r="N250" s="363">
        <f t="shared" si="7"/>
        <v>2.1394950791613181E-3</v>
      </c>
    </row>
    <row r="251" spans="2:14" ht="14.25" thickTop="1" thickBot="1">
      <c r="B251" s="250">
        <v>30108</v>
      </c>
      <c r="C251" s="272" t="s">
        <v>893</v>
      </c>
      <c r="D251" s="413">
        <v>9</v>
      </c>
      <c r="E251" s="413">
        <v>9</v>
      </c>
      <c r="F251" s="413">
        <v>2</v>
      </c>
      <c r="G251" s="413">
        <v>3</v>
      </c>
      <c r="H251" s="413">
        <v>3</v>
      </c>
      <c r="I251" s="413">
        <v>5</v>
      </c>
      <c r="J251" s="413">
        <v>4</v>
      </c>
      <c r="K251" s="413">
        <v>1</v>
      </c>
      <c r="L251" s="413">
        <v>3</v>
      </c>
      <c r="M251" s="413">
        <f t="shared" si="6"/>
        <v>39</v>
      </c>
      <c r="N251" s="363">
        <f t="shared" si="7"/>
        <v>4.0702589310873854E-4</v>
      </c>
    </row>
    <row r="252" spans="2:14" ht="14.25" thickTop="1" thickBot="1">
      <c r="B252" s="250">
        <v>30109</v>
      </c>
      <c r="C252" s="272" t="s">
        <v>894</v>
      </c>
      <c r="D252" s="413">
        <v>22</v>
      </c>
      <c r="E252" s="413">
        <v>23</v>
      </c>
      <c r="F252" s="413">
        <v>18</v>
      </c>
      <c r="G252" s="413">
        <v>14</v>
      </c>
      <c r="H252" s="413">
        <v>11</v>
      </c>
      <c r="I252" s="413">
        <v>23</v>
      </c>
      <c r="J252" s="413">
        <v>15</v>
      </c>
      <c r="K252" s="413">
        <v>13</v>
      </c>
      <c r="L252" s="413">
        <v>11</v>
      </c>
      <c r="M252" s="413">
        <f t="shared" si="6"/>
        <v>150</v>
      </c>
      <c r="N252" s="363">
        <f t="shared" si="7"/>
        <v>1.5654842042643789E-3</v>
      </c>
    </row>
    <row r="253" spans="2:14" ht="14.25" thickTop="1" thickBot="1">
      <c r="B253" s="250">
        <v>30110</v>
      </c>
      <c r="C253" s="272" t="s">
        <v>895</v>
      </c>
      <c r="D253" s="413">
        <v>11</v>
      </c>
      <c r="E253" s="413">
        <v>6</v>
      </c>
      <c r="F253" s="413">
        <v>5</v>
      </c>
      <c r="G253" s="413">
        <v>8</v>
      </c>
      <c r="H253" s="413">
        <v>9</v>
      </c>
      <c r="I253" s="413">
        <v>5</v>
      </c>
      <c r="J253" s="413">
        <v>7</v>
      </c>
      <c r="K253" s="413">
        <v>4</v>
      </c>
      <c r="L253" s="413">
        <v>6</v>
      </c>
      <c r="M253" s="413">
        <f t="shared" si="6"/>
        <v>61</v>
      </c>
      <c r="N253" s="363">
        <f t="shared" si="7"/>
        <v>6.3663024306751415E-4</v>
      </c>
    </row>
    <row r="254" spans="2:14" ht="14.25" thickTop="1" thickBot="1">
      <c r="B254" s="250">
        <v>30111</v>
      </c>
      <c r="C254" s="272" t="s">
        <v>896</v>
      </c>
      <c r="D254" s="413">
        <v>19</v>
      </c>
      <c r="E254" s="413">
        <v>13</v>
      </c>
      <c r="F254" s="413">
        <v>12</v>
      </c>
      <c r="G254" s="413">
        <v>17</v>
      </c>
      <c r="H254" s="413">
        <v>7</v>
      </c>
      <c r="I254" s="413">
        <v>10</v>
      </c>
      <c r="J254" s="413">
        <v>10</v>
      </c>
      <c r="K254" s="413">
        <v>11</v>
      </c>
      <c r="L254" s="413">
        <v>13</v>
      </c>
      <c r="M254" s="413">
        <f t="shared" si="6"/>
        <v>112</v>
      </c>
      <c r="N254" s="363">
        <f t="shared" si="7"/>
        <v>1.1688948725174029E-3</v>
      </c>
    </row>
    <row r="255" spans="2:14" ht="14.25" thickTop="1" thickBot="1">
      <c r="B255" s="250">
        <v>30201</v>
      </c>
      <c r="C255" s="272" t="s">
        <v>30</v>
      </c>
      <c r="D255" s="413">
        <v>55</v>
      </c>
      <c r="E255" s="413">
        <v>41</v>
      </c>
      <c r="F255" s="413">
        <v>229</v>
      </c>
      <c r="G255" s="413">
        <v>89</v>
      </c>
      <c r="H255" s="413">
        <v>59</v>
      </c>
      <c r="I255" s="413">
        <v>83</v>
      </c>
      <c r="J255" s="413">
        <v>88</v>
      </c>
      <c r="K255" s="413">
        <v>74</v>
      </c>
      <c r="L255" s="413">
        <v>49</v>
      </c>
      <c r="M255" s="413">
        <f t="shared" si="6"/>
        <v>767</v>
      </c>
      <c r="N255" s="363">
        <f t="shared" si="7"/>
        <v>8.004842564471858E-3</v>
      </c>
    </row>
    <row r="256" spans="2:14" ht="14.25" thickTop="1" thickBot="1">
      <c r="B256" s="250">
        <v>30202</v>
      </c>
      <c r="C256" s="272" t="s">
        <v>738</v>
      </c>
      <c r="D256" s="413">
        <v>47</v>
      </c>
      <c r="E256" s="413">
        <v>33</v>
      </c>
      <c r="F256" s="413">
        <v>20</v>
      </c>
      <c r="G256" s="413">
        <v>22</v>
      </c>
      <c r="H256" s="413">
        <v>105</v>
      </c>
      <c r="I256" s="413">
        <v>29</v>
      </c>
      <c r="J256" s="413">
        <v>35</v>
      </c>
      <c r="K256" s="413">
        <v>25</v>
      </c>
      <c r="L256" s="413">
        <v>20</v>
      </c>
      <c r="M256" s="413">
        <f t="shared" si="6"/>
        <v>336</v>
      </c>
      <c r="N256" s="363">
        <f t="shared" si="7"/>
        <v>3.506684617552209E-3</v>
      </c>
    </row>
    <row r="257" spans="2:14" ht="14.25" thickTop="1" thickBot="1">
      <c r="B257" s="250">
        <v>30203</v>
      </c>
      <c r="C257" s="272" t="s">
        <v>897</v>
      </c>
      <c r="D257" s="413">
        <v>98</v>
      </c>
      <c r="E257" s="413">
        <v>20</v>
      </c>
      <c r="F257" s="413">
        <v>15</v>
      </c>
      <c r="G257" s="413">
        <v>68</v>
      </c>
      <c r="H257" s="413">
        <v>21</v>
      </c>
      <c r="I257" s="413">
        <v>103</v>
      </c>
      <c r="J257" s="413">
        <v>46</v>
      </c>
      <c r="K257" s="413">
        <v>9</v>
      </c>
      <c r="L257" s="413">
        <v>11</v>
      </c>
      <c r="M257" s="413">
        <f t="shared" si="6"/>
        <v>391</v>
      </c>
      <c r="N257" s="363">
        <f t="shared" si="7"/>
        <v>4.0806954924491479E-3</v>
      </c>
    </row>
    <row r="258" spans="2:14" ht="14.25" thickTop="1" thickBot="1">
      <c r="B258" s="250">
        <v>30204</v>
      </c>
      <c r="C258" s="272" t="s">
        <v>898</v>
      </c>
      <c r="D258" s="413">
        <v>14</v>
      </c>
      <c r="E258" s="413">
        <v>18</v>
      </c>
      <c r="F258" s="413">
        <v>16</v>
      </c>
      <c r="G258" s="413">
        <v>99</v>
      </c>
      <c r="H258" s="413">
        <v>9</v>
      </c>
      <c r="I258" s="413">
        <v>26</v>
      </c>
      <c r="J258" s="413">
        <v>10</v>
      </c>
      <c r="K258" s="413">
        <v>6</v>
      </c>
      <c r="L258" s="413">
        <v>7</v>
      </c>
      <c r="M258" s="413">
        <f t="shared" si="6"/>
        <v>205</v>
      </c>
      <c r="N258" s="363">
        <f t="shared" si="7"/>
        <v>2.1394950791613181E-3</v>
      </c>
    </row>
    <row r="259" spans="2:14" ht="14.25" thickTop="1" thickBot="1">
      <c r="B259" s="250">
        <v>30205</v>
      </c>
      <c r="C259" s="272" t="s">
        <v>899</v>
      </c>
      <c r="D259" s="413">
        <v>21</v>
      </c>
      <c r="E259" s="413">
        <v>2</v>
      </c>
      <c r="F259" s="413" t="s">
        <v>156</v>
      </c>
      <c r="G259" s="413">
        <v>1</v>
      </c>
      <c r="H259" s="413">
        <v>41</v>
      </c>
      <c r="I259" s="413">
        <v>52</v>
      </c>
      <c r="J259" s="413">
        <v>57</v>
      </c>
      <c r="K259" s="413">
        <v>33</v>
      </c>
      <c r="L259" s="413">
        <v>30</v>
      </c>
      <c r="M259" s="413">
        <f t="shared" si="6"/>
        <v>237</v>
      </c>
      <c r="N259" s="363">
        <f t="shared" si="7"/>
        <v>2.473465042737719E-3</v>
      </c>
    </row>
    <row r="260" spans="2:14" ht="14.25" thickTop="1" thickBot="1">
      <c r="B260" s="250">
        <v>30301</v>
      </c>
      <c r="C260" s="272" t="s">
        <v>900</v>
      </c>
      <c r="D260" s="413">
        <v>2</v>
      </c>
      <c r="E260" s="413">
        <v>7</v>
      </c>
      <c r="F260" s="413">
        <v>1</v>
      </c>
      <c r="G260" s="413">
        <v>1</v>
      </c>
      <c r="H260" s="413">
        <v>2</v>
      </c>
      <c r="I260" s="413">
        <v>1</v>
      </c>
      <c r="J260" s="413">
        <v>1</v>
      </c>
      <c r="K260" s="413">
        <v>4</v>
      </c>
      <c r="L260" s="413">
        <v>4</v>
      </c>
      <c r="M260" s="413">
        <f t="shared" si="6"/>
        <v>23</v>
      </c>
      <c r="N260" s="363">
        <f t="shared" si="7"/>
        <v>2.4004091132053812E-4</v>
      </c>
    </row>
    <row r="261" spans="2:14" ht="14.25" thickTop="1" thickBot="1">
      <c r="B261" s="250">
        <v>30302</v>
      </c>
      <c r="C261" s="272" t="s">
        <v>901</v>
      </c>
      <c r="D261" s="413">
        <v>17</v>
      </c>
      <c r="E261" s="413">
        <v>15</v>
      </c>
      <c r="F261" s="413">
        <v>7</v>
      </c>
      <c r="G261" s="413">
        <v>4</v>
      </c>
      <c r="H261" s="413">
        <v>10</v>
      </c>
      <c r="I261" s="413">
        <v>10</v>
      </c>
      <c r="J261" s="413">
        <v>4</v>
      </c>
      <c r="K261" s="413">
        <v>6</v>
      </c>
      <c r="L261" s="413">
        <v>9</v>
      </c>
      <c r="M261" s="413">
        <f t="shared" si="6"/>
        <v>82</v>
      </c>
      <c r="N261" s="363">
        <f t="shared" si="7"/>
        <v>8.5579803166452718E-4</v>
      </c>
    </row>
    <row r="262" spans="2:14" ht="14.25" thickTop="1" thickBot="1">
      <c r="B262" s="250">
        <v>30303</v>
      </c>
      <c r="C262" s="272" t="s">
        <v>782</v>
      </c>
      <c r="D262" s="413">
        <v>4</v>
      </c>
      <c r="E262" s="413">
        <v>1</v>
      </c>
      <c r="F262" s="413">
        <v>3</v>
      </c>
      <c r="G262" s="413">
        <v>1</v>
      </c>
      <c r="H262" s="413">
        <v>1</v>
      </c>
      <c r="I262" s="413" t="s">
        <v>156</v>
      </c>
      <c r="J262" s="413">
        <v>1</v>
      </c>
      <c r="K262" s="413" t="s">
        <v>156</v>
      </c>
      <c r="L262" s="413" t="s">
        <v>156</v>
      </c>
      <c r="M262" s="413">
        <f t="shared" ref="M262:M325" si="8">SUM(D262:L262)</f>
        <v>11</v>
      </c>
      <c r="N262" s="363">
        <f t="shared" si="7"/>
        <v>1.1480217497938779E-4</v>
      </c>
    </row>
    <row r="263" spans="2:14" ht="14.25" thickTop="1" thickBot="1">
      <c r="B263" s="250">
        <v>30304</v>
      </c>
      <c r="C263" s="272" t="s">
        <v>18</v>
      </c>
      <c r="D263" s="413">
        <v>5</v>
      </c>
      <c r="E263" s="413">
        <v>39</v>
      </c>
      <c r="F263" s="413">
        <v>32</v>
      </c>
      <c r="G263" s="413">
        <v>24</v>
      </c>
      <c r="H263" s="413">
        <v>2</v>
      </c>
      <c r="I263" s="413">
        <v>4</v>
      </c>
      <c r="J263" s="413">
        <v>1</v>
      </c>
      <c r="K263" s="413">
        <v>6</v>
      </c>
      <c r="L263" s="413">
        <v>4</v>
      </c>
      <c r="M263" s="413">
        <f t="shared" si="8"/>
        <v>117</v>
      </c>
      <c r="N263" s="363">
        <f t="shared" ref="N263:N326" si="9">+M263/$M$491</f>
        <v>1.2210776793262156E-3</v>
      </c>
    </row>
    <row r="264" spans="2:14" ht="14.25" thickTop="1" thickBot="1">
      <c r="B264" s="250">
        <v>30305</v>
      </c>
      <c r="C264" s="272" t="s">
        <v>772</v>
      </c>
      <c r="D264" s="413">
        <v>11</v>
      </c>
      <c r="E264" s="413">
        <v>4</v>
      </c>
      <c r="F264" s="413">
        <v>9</v>
      </c>
      <c r="G264" s="413">
        <v>4</v>
      </c>
      <c r="H264" s="413">
        <v>6</v>
      </c>
      <c r="I264" s="413">
        <v>6</v>
      </c>
      <c r="J264" s="413">
        <v>4</v>
      </c>
      <c r="K264" s="413">
        <v>5</v>
      </c>
      <c r="L264" s="413">
        <v>4</v>
      </c>
      <c r="M264" s="413">
        <f t="shared" si="8"/>
        <v>53</v>
      </c>
      <c r="N264" s="363">
        <f t="shared" si="9"/>
        <v>5.5313775217341393E-4</v>
      </c>
    </row>
    <row r="265" spans="2:14" ht="14.25" thickTop="1" thickBot="1">
      <c r="B265" s="250">
        <v>30306</v>
      </c>
      <c r="C265" s="272" t="s">
        <v>894</v>
      </c>
      <c r="D265" s="413">
        <v>3</v>
      </c>
      <c r="E265" s="413">
        <v>37</v>
      </c>
      <c r="F265" s="413">
        <v>11</v>
      </c>
      <c r="G265" s="413">
        <v>4</v>
      </c>
      <c r="H265" s="413">
        <v>8</v>
      </c>
      <c r="I265" s="413">
        <v>15</v>
      </c>
      <c r="J265" s="413">
        <v>5</v>
      </c>
      <c r="K265" s="413">
        <v>3</v>
      </c>
      <c r="L265" s="413">
        <v>1</v>
      </c>
      <c r="M265" s="413">
        <f t="shared" si="8"/>
        <v>87</v>
      </c>
      <c r="N265" s="363">
        <f t="shared" si="9"/>
        <v>9.0798083847333977E-4</v>
      </c>
    </row>
    <row r="266" spans="2:14" ht="14.25" thickTop="1" thickBot="1">
      <c r="B266" s="250">
        <v>30307</v>
      </c>
      <c r="C266" s="272" t="s">
        <v>821</v>
      </c>
      <c r="D266" s="413">
        <v>1</v>
      </c>
      <c r="E266" s="413">
        <v>2</v>
      </c>
      <c r="F266" s="413">
        <v>3</v>
      </c>
      <c r="G266" s="413">
        <v>1</v>
      </c>
      <c r="H266" s="413">
        <v>1</v>
      </c>
      <c r="I266" s="413">
        <v>1</v>
      </c>
      <c r="J266" s="413">
        <v>1</v>
      </c>
      <c r="K266" s="413" t="s">
        <v>156</v>
      </c>
      <c r="L266" s="413">
        <v>2</v>
      </c>
      <c r="M266" s="413">
        <f t="shared" si="8"/>
        <v>12</v>
      </c>
      <c r="N266" s="363">
        <f t="shared" si="9"/>
        <v>1.2523873634115031E-4</v>
      </c>
    </row>
    <row r="267" spans="2:14" ht="14.25" thickTop="1" thickBot="1">
      <c r="B267" s="250">
        <v>30308</v>
      </c>
      <c r="C267" s="272" t="s">
        <v>902</v>
      </c>
      <c r="D267" s="413">
        <v>2</v>
      </c>
      <c r="E267" s="413">
        <v>2</v>
      </c>
      <c r="F267" s="413">
        <v>2</v>
      </c>
      <c r="G267" s="413" t="s">
        <v>156</v>
      </c>
      <c r="H267" s="413">
        <v>2</v>
      </c>
      <c r="I267" s="413">
        <v>3</v>
      </c>
      <c r="J267" s="413">
        <v>1</v>
      </c>
      <c r="K267" s="413">
        <v>1</v>
      </c>
      <c r="L267" s="413">
        <v>1</v>
      </c>
      <c r="M267" s="413">
        <f t="shared" si="8"/>
        <v>14</v>
      </c>
      <c r="N267" s="363">
        <f t="shared" si="9"/>
        <v>1.4611185906467536E-4</v>
      </c>
    </row>
    <row r="268" spans="2:14" ht="14.25" thickTop="1" thickBot="1">
      <c r="B268" s="250">
        <v>30401</v>
      </c>
      <c r="C268" s="272" t="s">
        <v>903</v>
      </c>
      <c r="D268" s="413">
        <v>15</v>
      </c>
      <c r="E268" s="413">
        <v>18</v>
      </c>
      <c r="F268" s="413">
        <v>12</v>
      </c>
      <c r="G268" s="413">
        <v>20</v>
      </c>
      <c r="H268" s="413">
        <v>23</v>
      </c>
      <c r="I268" s="413">
        <v>85</v>
      </c>
      <c r="J268" s="413">
        <v>27</v>
      </c>
      <c r="K268" s="413">
        <v>22</v>
      </c>
      <c r="L268" s="413">
        <v>9</v>
      </c>
      <c r="M268" s="413">
        <f t="shared" si="8"/>
        <v>231</v>
      </c>
      <c r="N268" s="363">
        <f t="shared" si="9"/>
        <v>2.4108456745671435E-3</v>
      </c>
    </row>
    <row r="269" spans="2:14" ht="14.25" thickTop="1" thickBot="1">
      <c r="B269" s="250">
        <v>30402</v>
      </c>
      <c r="C269" s="272" t="s">
        <v>904</v>
      </c>
      <c r="D269" s="413">
        <v>29</v>
      </c>
      <c r="E269" s="413">
        <v>57</v>
      </c>
      <c r="F269" s="413">
        <v>32</v>
      </c>
      <c r="G269" s="413">
        <v>31</v>
      </c>
      <c r="H269" s="413">
        <v>51</v>
      </c>
      <c r="I269" s="413">
        <v>41</v>
      </c>
      <c r="J269" s="413">
        <v>37</v>
      </c>
      <c r="K269" s="413">
        <v>35</v>
      </c>
      <c r="L269" s="413">
        <v>23</v>
      </c>
      <c r="M269" s="413">
        <f t="shared" si="8"/>
        <v>336</v>
      </c>
      <c r="N269" s="363">
        <f t="shared" si="9"/>
        <v>3.506684617552209E-3</v>
      </c>
    </row>
    <row r="270" spans="2:14" ht="14.25" thickTop="1" thickBot="1">
      <c r="B270" s="250">
        <v>30403</v>
      </c>
      <c r="C270" s="272" t="s">
        <v>807</v>
      </c>
      <c r="D270" s="413">
        <v>24</v>
      </c>
      <c r="E270" s="413">
        <v>20</v>
      </c>
      <c r="F270" s="413">
        <v>27</v>
      </c>
      <c r="G270" s="413">
        <v>28</v>
      </c>
      <c r="H270" s="413">
        <v>32</v>
      </c>
      <c r="I270" s="413">
        <v>29</v>
      </c>
      <c r="J270" s="413">
        <v>28</v>
      </c>
      <c r="K270" s="413">
        <v>30</v>
      </c>
      <c r="L270" s="413">
        <v>29</v>
      </c>
      <c r="M270" s="413">
        <f t="shared" si="8"/>
        <v>247</v>
      </c>
      <c r="N270" s="363">
        <f t="shared" si="9"/>
        <v>2.5778306563553439E-3</v>
      </c>
    </row>
    <row r="271" spans="2:14" ht="14.25" thickTop="1" thickBot="1">
      <c r="B271" s="250">
        <v>30501</v>
      </c>
      <c r="C271" s="272" t="s">
        <v>59</v>
      </c>
      <c r="D271" s="413">
        <v>96</v>
      </c>
      <c r="E271" s="413">
        <v>70</v>
      </c>
      <c r="F271" s="413">
        <v>53</v>
      </c>
      <c r="G271" s="413">
        <v>80</v>
      </c>
      <c r="H271" s="413">
        <v>54</v>
      </c>
      <c r="I271" s="413">
        <v>43</v>
      </c>
      <c r="J271" s="413">
        <v>80</v>
      </c>
      <c r="K271" s="413">
        <v>146</v>
      </c>
      <c r="L271" s="413">
        <v>67</v>
      </c>
      <c r="M271" s="413">
        <f t="shared" si="8"/>
        <v>689</v>
      </c>
      <c r="N271" s="363">
        <f t="shared" si="9"/>
        <v>7.1907907782543809E-3</v>
      </c>
    </row>
    <row r="272" spans="2:14" ht="14.25" thickTop="1" thickBot="1">
      <c r="B272" s="250">
        <v>30502</v>
      </c>
      <c r="C272" s="272" t="s">
        <v>905</v>
      </c>
      <c r="D272" s="413">
        <v>33</v>
      </c>
      <c r="E272" s="413">
        <v>172</v>
      </c>
      <c r="F272" s="413">
        <v>54</v>
      </c>
      <c r="G272" s="413">
        <v>30</v>
      </c>
      <c r="H272" s="413">
        <v>29</v>
      </c>
      <c r="I272" s="413">
        <v>38</v>
      </c>
      <c r="J272" s="413">
        <v>29</v>
      </c>
      <c r="K272" s="413">
        <v>47</v>
      </c>
      <c r="L272" s="413">
        <v>19</v>
      </c>
      <c r="M272" s="413">
        <f t="shared" si="8"/>
        <v>451</v>
      </c>
      <c r="N272" s="363">
        <f t="shared" si="9"/>
        <v>4.7068891741548994E-3</v>
      </c>
    </row>
    <row r="273" spans="2:14" ht="14.25" thickTop="1" thickBot="1">
      <c r="B273" s="250">
        <v>30503</v>
      </c>
      <c r="C273" s="272" t="s">
        <v>906</v>
      </c>
      <c r="D273" s="413">
        <v>14</v>
      </c>
      <c r="E273" s="413">
        <v>5</v>
      </c>
      <c r="F273" s="413">
        <v>8</v>
      </c>
      <c r="G273" s="413">
        <v>7</v>
      </c>
      <c r="H273" s="413">
        <v>2</v>
      </c>
      <c r="I273" s="413">
        <v>4</v>
      </c>
      <c r="J273" s="413">
        <v>3</v>
      </c>
      <c r="K273" s="413">
        <v>5</v>
      </c>
      <c r="L273" s="413">
        <v>3</v>
      </c>
      <c r="M273" s="413">
        <f t="shared" si="8"/>
        <v>51</v>
      </c>
      <c r="N273" s="363">
        <f t="shared" si="9"/>
        <v>5.3226462944988887E-4</v>
      </c>
    </row>
    <row r="274" spans="2:14" ht="14.25" thickTop="1" thickBot="1">
      <c r="B274" s="250">
        <v>30504</v>
      </c>
      <c r="C274" s="272" t="s">
        <v>68</v>
      </c>
      <c r="D274" s="413">
        <v>12</v>
      </c>
      <c r="E274" s="413">
        <v>13</v>
      </c>
      <c r="F274" s="413">
        <v>11</v>
      </c>
      <c r="G274" s="413">
        <v>11</v>
      </c>
      <c r="H274" s="413">
        <v>19</v>
      </c>
      <c r="I274" s="413">
        <v>14</v>
      </c>
      <c r="J274" s="413">
        <v>20</v>
      </c>
      <c r="K274" s="413">
        <v>9</v>
      </c>
      <c r="L274" s="413">
        <v>9</v>
      </c>
      <c r="M274" s="413">
        <f t="shared" si="8"/>
        <v>118</v>
      </c>
      <c r="N274" s="363">
        <f t="shared" si="9"/>
        <v>1.2315142406879782E-3</v>
      </c>
    </row>
    <row r="275" spans="2:14" ht="14.25" thickTop="1" thickBot="1">
      <c r="B275" s="250">
        <v>30505</v>
      </c>
      <c r="C275" s="272" t="s">
        <v>907</v>
      </c>
      <c r="D275" s="413">
        <v>50</v>
      </c>
      <c r="E275" s="413">
        <v>50</v>
      </c>
      <c r="F275" s="413">
        <v>41</v>
      </c>
      <c r="G275" s="413">
        <v>40</v>
      </c>
      <c r="H275" s="413">
        <v>45</v>
      </c>
      <c r="I275" s="413">
        <v>40</v>
      </c>
      <c r="J275" s="413">
        <v>40</v>
      </c>
      <c r="K275" s="413">
        <v>42</v>
      </c>
      <c r="L275" s="413">
        <v>35</v>
      </c>
      <c r="M275" s="413">
        <f t="shared" si="8"/>
        <v>383</v>
      </c>
      <c r="N275" s="363">
        <f t="shared" si="9"/>
        <v>3.9972030015550473E-3</v>
      </c>
    </row>
    <row r="276" spans="2:14" ht="14.25" thickTop="1" thickBot="1">
      <c r="B276" s="250">
        <v>30506</v>
      </c>
      <c r="C276" s="272" t="s">
        <v>908</v>
      </c>
      <c r="D276" s="413">
        <v>23</v>
      </c>
      <c r="E276" s="413">
        <v>22</v>
      </c>
      <c r="F276" s="413">
        <v>26</v>
      </c>
      <c r="G276" s="413">
        <v>33</v>
      </c>
      <c r="H276" s="413">
        <v>32</v>
      </c>
      <c r="I276" s="413">
        <v>28</v>
      </c>
      <c r="J276" s="413">
        <v>26</v>
      </c>
      <c r="K276" s="413">
        <v>28</v>
      </c>
      <c r="L276" s="413">
        <v>25</v>
      </c>
      <c r="M276" s="413">
        <f t="shared" si="8"/>
        <v>243</v>
      </c>
      <c r="N276" s="363">
        <f t="shared" si="9"/>
        <v>2.536084410908294E-3</v>
      </c>
    </row>
    <row r="277" spans="2:14" ht="14.25" thickTop="1" thickBot="1">
      <c r="B277" s="250">
        <v>30507</v>
      </c>
      <c r="C277" s="272" t="s">
        <v>909</v>
      </c>
      <c r="D277" s="413">
        <v>50</v>
      </c>
      <c r="E277" s="413">
        <v>18</v>
      </c>
      <c r="F277" s="413">
        <v>17</v>
      </c>
      <c r="G277" s="413">
        <v>17</v>
      </c>
      <c r="H277" s="413">
        <v>12</v>
      </c>
      <c r="I277" s="413">
        <v>12</v>
      </c>
      <c r="J277" s="413">
        <v>13</v>
      </c>
      <c r="K277" s="413">
        <v>8</v>
      </c>
      <c r="L277" s="413">
        <v>11</v>
      </c>
      <c r="M277" s="413">
        <f t="shared" si="8"/>
        <v>158</v>
      </c>
      <c r="N277" s="363">
        <f t="shared" si="9"/>
        <v>1.6489766951584791E-3</v>
      </c>
    </row>
    <row r="278" spans="2:14" ht="14.25" thickTop="1" thickBot="1">
      <c r="B278" s="250">
        <v>30508</v>
      </c>
      <c r="C278" s="272" t="s">
        <v>910</v>
      </c>
      <c r="D278" s="413">
        <v>32</v>
      </c>
      <c r="E278" s="413">
        <v>23</v>
      </c>
      <c r="F278" s="413">
        <v>83</v>
      </c>
      <c r="G278" s="413">
        <v>19</v>
      </c>
      <c r="H278" s="413">
        <v>23</v>
      </c>
      <c r="I278" s="413">
        <v>15</v>
      </c>
      <c r="J278" s="413">
        <v>15</v>
      </c>
      <c r="K278" s="413">
        <v>15</v>
      </c>
      <c r="L278" s="413">
        <v>10</v>
      </c>
      <c r="M278" s="413">
        <f t="shared" si="8"/>
        <v>235</v>
      </c>
      <c r="N278" s="363">
        <f t="shared" si="9"/>
        <v>2.4525919200141938E-3</v>
      </c>
    </row>
    <row r="279" spans="2:14" ht="14.25" thickTop="1" thickBot="1">
      <c r="B279" s="250">
        <v>30509</v>
      </c>
      <c r="C279" s="272" t="s">
        <v>911</v>
      </c>
      <c r="D279" s="413">
        <v>27</v>
      </c>
      <c r="E279" s="413">
        <v>25</v>
      </c>
      <c r="F279" s="413">
        <v>13</v>
      </c>
      <c r="G279" s="413">
        <v>17</v>
      </c>
      <c r="H279" s="413">
        <v>11</v>
      </c>
      <c r="I279" s="413">
        <v>15</v>
      </c>
      <c r="J279" s="413">
        <v>16</v>
      </c>
      <c r="K279" s="413">
        <v>23</v>
      </c>
      <c r="L279" s="413">
        <v>18</v>
      </c>
      <c r="M279" s="413">
        <f t="shared" si="8"/>
        <v>165</v>
      </c>
      <c r="N279" s="363">
        <f t="shared" si="9"/>
        <v>1.7220326246908169E-3</v>
      </c>
    </row>
    <row r="280" spans="2:14" ht="14.25" thickTop="1" thickBot="1">
      <c r="B280" s="250">
        <v>30510</v>
      </c>
      <c r="C280" s="272" t="s">
        <v>912</v>
      </c>
      <c r="D280" s="413">
        <v>10</v>
      </c>
      <c r="E280" s="413">
        <v>11</v>
      </c>
      <c r="F280" s="413">
        <v>6</v>
      </c>
      <c r="G280" s="413">
        <v>21</v>
      </c>
      <c r="H280" s="413">
        <v>17</v>
      </c>
      <c r="I280" s="413">
        <v>10</v>
      </c>
      <c r="J280" s="413">
        <v>5</v>
      </c>
      <c r="K280" s="413">
        <v>6</v>
      </c>
      <c r="L280" s="413">
        <v>7</v>
      </c>
      <c r="M280" s="413">
        <f t="shared" si="8"/>
        <v>93</v>
      </c>
      <c r="N280" s="363">
        <f t="shared" si="9"/>
        <v>9.7060020664391494E-4</v>
      </c>
    </row>
    <row r="281" spans="2:14" ht="14.25" thickTop="1" thickBot="1">
      <c r="B281" s="250">
        <v>30511</v>
      </c>
      <c r="C281" s="272" t="s">
        <v>913</v>
      </c>
      <c r="D281" s="413">
        <v>17</v>
      </c>
      <c r="E281" s="413">
        <v>7</v>
      </c>
      <c r="F281" s="413">
        <v>4</v>
      </c>
      <c r="G281" s="413">
        <v>3</v>
      </c>
      <c r="H281" s="413">
        <v>6</v>
      </c>
      <c r="I281" s="413">
        <v>1</v>
      </c>
      <c r="J281" s="413">
        <v>3</v>
      </c>
      <c r="K281" s="413">
        <v>4</v>
      </c>
      <c r="L281" s="413">
        <v>4</v>
      </c>
      <c r="M281" s="413">
        <f t="shared" si="8"/>
        <v>49</v>
      </c>
      <c r="N281" s="363">
        <f t="shared" si="9"/>
        <v>5.1139150672636381E-4</v>
      </c>
    </row>
    <row r="282" spans="2:14" ht="14.25" thickTop="1" thickBot="1">
      <c r="B282" s="250">
        <v>30512</v>
      </c>
      <c r="C282" s="272" t="s">
        <v>914</v>
      </c>
      <c r="D282" s="413">
        <v>2</v>
      </c>
      <c r="E282" s="413">
        <v>83</v>
      </c>
      <c r="F282" s="413">
        <v>101</v>
      </c>
      <c r="G282" s="413">
        <v>43</v>
      </c>
      <c r="H282" s="413">
        <v>41</v>
      </c>
      <c r="I282" s="413">
        <v>22</v>
      </c>
      <c r="J282" s="413">
        <v>37</v>
      </c>
      <c r="K282" s="413">
        <v>2</v>
      </c>
      <c r="L282" s="413">
        <v>1</v>
      </c>
      <c r="M282" s="413">
        <f t="shared" si="8"/>
        <v>332</v>
      </c>
      <c r="N282" s="363">
        <f t="shared" si="9"/>
        <v>3.4649383721051586E-3</v>
      </c>
    </row>
    <row r="283" spans="2:14" ht="14.25" thickTop="1" thickBot="1">
      <c r="B283" s="250">
        <v>30601</v>
      </c>
      <c r="C283" s="272" t="s">
        <v>915</v>
      </c>
      <c r="D283" s="413">
        <v>30</v>
      </c>
      <c r="E283" s="413">
        <v>36</v>
      </c>
      <c r="F283" s="413">
        <v>28</v>
      </c>
      <c r="G283" s="413">
        <v>55</v>
      </c>
      <c r="H283" s="413">
        <v>20</v>
      </c>
      <c r="I283" s="413">
        <v>70</v>
      </c>
      <c r="J283" s="413">
        <v>25</v>
      </c>
      <c r="K283" s="413">
        <v>20</v>
      </c>
      <c r="L283" s="413">
        <v>20</v>
      </c>
      <c r="M283" s="413">
        <f t="shared" si="8"/>
        <v>304</v>
      </c>
      <c r="N283" s="363">
        <f t="shared" si="9"/>
        <v>3.1727146539758081E-3</v>
      </c>
    </row>
    <row r="284" spans="2:14" ht="14.25" thickTop="1" thickBot="1">
      <c r="B284" s="250">
        <v>30602</v>
      </c>
      <c r="C284" s="272" t="s">
        <v>916</v>
      </c>
      <c r="D284" s="413">
        <v>30</v>
      </c>
      <c r="E284" s="413">
        <v>38</v>
      </c>
      <c r="F284" s="413">
        <v>36</v>
      </c>
      <c r="G284" s="413">
        <v>21</v>
      </c>
      <c r="H284" s="413">
        <v>67</v>
      </c>
      <c r="I284" s="413">
        <v>68</v>
      </c>
      <c r="J284" s="413">
        <v>85</v>
      </c>
      <c r="K284" s="413">
        <v>75</v>
      </c>
      <c r="L284" s="413">
        <v>55</v>
      </c>
      <c r="M284" s="413">
        <f t="shared" si="8"/>
        <v>475</v>
      </c>
      <c r="N284" s="363">
        <f t="shared" si="9"/>
        <v>4.9573666468372005E-3</v>
      </c>
    </row>
    <row r="285" spans="2:14" ht="14.25" thickTop="1" thickBot="1">
      <c r="B285" s="250">
        <v>30603</v>
      </c>
      <c r="C285" s="272" t="s">
        <v>917</v>
      </c>
      <c r="D285" s="413">
        <v>14</v>
      </c>
      <c r="E285" s="413">
        <v>27</v>
      </c>
      <c r="F285" s="413">
        <v>10</v>
      </c>
      <c r="G285" s="413">
        <v>13</v>
      </c>
      <c r="H285" s="413">
        <v>14</v>
      </c>
      <c r="I285" s="413">
        <v>7</v>
      </c>
      <c r="J285" s="413">
        <v>7</v>
      </c>
      <c r="K285" s="413">
        <v>11</v>
      </c>
      <c r="L285" s="413">
        <v>13</v>
      </c>
      <c r="M285" s="413">
        <f t="shared" si="8"/>
        <v>116</v>
      </c>
      <c r="N285" s="363">
        <f t="shared" si="9"/>
        <v>1.210641117964453E-3</v>
      </c>
    </row>
    <row r="286" spans="2:14" ht="14.25" thickTop="1" thickBot="1">
      <c r="B286" s="250">
        <v>30701</v>
      </c>
      <c r="C286" s="272" t="s">
        <v>18</v>
      </c>
      <c r="D286" s="413">
        <v>343</v>
      </c>
      <c r="E286" s="413">
        <v>170</v>
      </c>
      <c r="F286" s="413">
        <v>31</v>
      </c>
      <c r="G286" s="413">
        <v>29</v>
      </c>
      <c r="H286" s="413">
        <v>21</v>
      </c>
      <c r="I286" s="413">
        <v>24</v>
      </c>
      <c r="J286" s="413">
        <v>27</v>
      </c>
      <c r="K286" s="413">
        <v>23</v>
      </c>
      <c r="L286" s="413">
        <v>28</v>
      </c>
      <c r="M286" s="413">
        <f t="shared" si="8"/>
        <v>696</v>
      </c>
      <c r="N286" s="363">
        <f t="shared" si="9"/>
        <v>7.2638467077867181E-3</v>
      </c>
    </row>
    <row r="287" spans="2:14" ht="14.25" thickTop="1" thickBot="1">
      <c r="B287" s="250">
        <v>30702</v>
      </c>
      <c r="C287" s="272" t="s">
        <v>918</v>
      </c>
      <c r="D287" s="413">
        <v>17</v>
      </c>
      <c r="E287" s="413">
        <v>25</v>
      </c>
      <c r="F287" s="413">
        <v>15</v>
      </c>
      <c r="G287" s="413">
        <v>12</v>
      </c>
      <c r="H287" s="413">
        <v>20</v>
      </c>
      <c r="I287" s="413">
        <v>15</v>
      </c>
      <c r="J287" s="413">
        <v>35</v>
      </c>
      <c r="K287" s="413">
        <v>22</v>
      </c>
      <c r="L287" s="413">
        <v>26</v>
      </c>
      <c r="M287" s="413">
        <f t="shared" si="8"/>
        <v>187</v>
      </c>
      <c r="N287" s="363">
        <f t="shared" si="9"/>
        <v>1.9516369746495925E-3</v>
      </c>
    </row>
    <row r="288" spans="2:14" ht="14.25" thickTop="1" thickBot="1">
      <c r="B288" s="250">
        <v>30703</v>
      </c>
      <c r="C288" s="272" t="s">
        <v>919</v>
      </c>
      <c r="D288" s="413">
        <v>5</v>
      </c>
      <c r="E288" s="413">
        <v>4</v>
      </c>
      <c r="F288" s="413">
        <v>9</v>
      </c>
      <c r="G288" s="413">
        <v>6</v>
      </c>
      <c r="H288" s="413">
        <v>2</v>
      </c>
      <c r="I288" s="413">
        <v>4</v>
      </c>
      <c r="J288" s="413">
        <v>2</v>
      </c>
      <c r="K288" s="413">
        <v>2</v>
      </c>
      <c r="L288" s="413">
        <v>3</v>
      </c>
      <c r="M288" s="413">
        <f t="shared" si="8"/>
        <v>37</v>
      </c>
      <c r="N288" s="363">
        <f t="shared" si="9"/>
        <v>3.8615277038521348E-4</v>
      </c>
    </row>
    <row r="289" spans="2:14" ht="14.25" thickTop="1" thickBot="1">
      <c r="B289" s="250">
        <v>30704</v>
      </c>
      <c r="C289" s="272" t="s">
        <v>920</v>
      </c>
      <c r="D289" s="413">
        <v>15</v>
      </c>
      <c r="E289" s="413">
        <v>24</v>
      </c>
      <c r="F289" s="413">
        <v>11</v>
      </c>
      <c r="G289" s="413">
        <v>7</v>
      </c>
      <c r="H289" s="413">
        <v>17</v>
      </c>
      <c r="I289" s="413">
        <v>14</v>
      </c>
      <c r="J289" s="413">
        <v>5</v>
      </c>
      <c r="K289" s="413">
        <v>9</v>
      </c>
      <c r="L289" s="413">
        <v>9</v>
      </c>
      <c r="M289" s="413">
        <f t="shared" si="8"/>
        <v>111</v>
      </c>
      <c r="N289" s="363">
        <f t="shared" si="9"/>
        <v>1.1584583111556405E-3</v>
      </c>
    </row>
    <row r="290" spans="2:14" ht="14.25" thickTop="1" thickBot="1">
      <c r="B290" s="250">
        <v>30705</v>
      </c>
      <c r="C290" s="272" t="s">
        <v>911</v>
      </c>
      <c r="D290" s="413">
        <v>6</v>
      </c>
      <c r="E290" s="413">
        <v>7</v>
      </c>
      <c r="F290" s="413">
        <v>10</v>
      </c>
      <c r="G290" s="413">
        <v>9</v>
      </c>
      <c r="H290" s="413">
        <v>14</v>
      </c>
      <c r="I290" s="413">
        <v>7</v>
      </c>
      <c r="J290" s="413">
        <v>5</v>
      </c>
      <c r="K290" s="413">
        <v>13</v>
      </c>
      <c r="L290" s="413">
        <v>14</v>
      </c>
      <c r="M290" s="413">
        <f t="shared" si="8"/>
        <v>85</v>
      </c>
      <c r="N290" s="363">
        <f t="shared" si="9"/>
        <v>8.8710771574981471E-4</v>
      </c>
    </row>
    <row r="291" spans="2:14" ht="14.25" thickTop="1" thickBot="1">
      <c r="B291" s="250">
        <v>30801</v>
      </c>
      <c r="C291" s="272" t="s">
        <v>921</v>
      </c>
      <c r="D291" s="413">
        <v>22</v>
      </c>
      <c r="E291" s="413">
        <v>17</v>
      </c>
      <c r="F291" s="413">
        <v>11</v>
      </c>
      <c r="G291" s="413">
        <v>22</v>
      </c>
      <c r="H291" s="413">
        <v>27</v>
      </c>
      <c r="I291" s="413">
        <v>19</v>
      </c>
      <c r="J291" s="413">
        <v>22</v>
      </c>
      <c r="K291" s="413">
        <v>24</v>
      </c>
      <c r="L291" s="413">
        <v>18</v>
      </c>
      <c r="M291" s="413">
        <f t="shared" si="8"/>
        <v>182</v>
      </c>
      <c r="N291" s="363">
        <f t="shared" si="9"/>
        <v>1.8994541678407798E-3</v>
      </c>
    </row>
    <row r="292" spans="2:14" ht="14.25" thickTop="1" thickBot="1">
      <c r="B292" s="250">
        <v>30802</v>
      </c>
      <c r="C292" s="272" t="s">
        <v>63</v>
      </c>
      <c r="D292" s="413">
        <v>23</v>
      </c>
      <c r="E292" s="413">
        <v>21</v>
      </c>
      <c r="F292" s="413">
        <v>14</v>
      </c>
      <c r="G292" s="413">
        <v>18</v>
      </c>
      <c r="H292" s="413">
        <v>12</v>
      </c>
      <c r="I292" s="413">
        <v>16</v>
      </c>
      <c r="J292" s="413">
        <v>19</v>
      </c>
      <c r="K292" s="413">
        <v>14</v>
      </c>
      <c r="L292" s="413">
        <v>16</v>
      </c>
      <c r="M292" s="413">
        <f t="shared" si="8"/>
        <v>153</v>
      </c>
      <c r="N292" s="363">
        <f t="shared" si="9"/>
        <v>1.5967938883496666E-3</v>
      </c>
    </row>
    <row r="293" spans="2:14" ht="14.25" thickTop="1" thickBot="1">
      <c r="B293" s="250">
        <v>30803</v>
      </c>
      <c r="C293" s="272" t="s">
        <v>922</v>
      </c>
      <c r="D293" s="413">
        <v>16</v>
      </c>
      <c r="E293" s="413">
        <v>19</v>
      </c>
      <c r="F293" s="413">
        <v>13</v>
      </c>
      <c r="G293" s="413">
        <v>19</v>
      </c>
      <c r="H293" s="413">
        <v>13</v>
      </c>
      <c r="I293" s="413">
        <v>6</v>
      </c>
      <c r="J293" s="413">
        <v>12</v>
      </c>
      <c r="K293" s="413">
        <v>11</v>
      </c>
      <c r="L293" s="413">
        <v>9</v>
      </c>
      <c r="M293" s="413">
        <f t="shared" si="8"/>
        <v>118</v>
      </c>
      <c r="N293" s="363">
        <f t="shared" si="9"/>
        <v>1.2315142406879782E-3</v>
      </c>
    </row>
    <row r="294" spans="2:14" ht="14.25" thickTop="1" thickBot="1">
      <c r="B294" s="250">
        <v>30804</v>
      </c>
      <c r="C294" s="272" t="s">
        <v>923</v>
      </c>
      <c r="D294" s="413">
        <v>2</v>
      </c>
      <c r="E294" s="413">
        <v>3</v>
      </c>
      <c r="F294" s="413">
        <v>3</v>
      </c>
      <c r="G294" s="413" t="s">
        <v>156</v>
      </c>
      <c r="H294" s="413">
        <v>1</v>
      </c>
      <c r="I294" s="413">
        <v>1</v>
      </c>
      <c r="J294" s="413">
        <v>2</v>
      </c>
      <c r="K294" s="413">
        <v>3</v>
      </c>
      <c r="L294" s="413">
        <v>5</v>
      </c>
      <c r="M294" s="413">
        <f t="shared" si="8"/>
        <v>20</v>
      </c>
      <c r="N294" s="363">
        <f t="shared" si="9"/>
        <v>2.0873122723525053E-4</v>
      </c>
    </row>
    <row r="295" spans="2:14" ht="14.25" thickTop="1" thickBot="1">
      <c r="B295" s="250">
        <v>40101</v>
      </c>
      <c r="C295" s="272" t="s">
        <v>34</v>
      </c>
      <c r="D295" s="413">
        <v>3</v>
      </c>
      <c r="E295" s="413">
        <v>1</v>
      </c>
      <c r="F295" s="413">
        <v>4</v>
      </c>
      <c r="G295" s="413">
        <v>1</v>
      </c>
      <c r="H295" s="413">
        <v>1</v>
      </c>
      <c r="I295" s="413">
        <v>1</v>
      </c>
      <c r="J295" s="413" t="s">
        <v>156</v>
      </c>
      <c r="K295" s="413">
        <v>2</v>
      </c>
      <c r="L295" s="413" t="s">
        <v>156</v>
      </c>
      <c r="M295" s="413">
        <f t="shared" si="8"/>
        <v>13</v>
      </c>
      <c r="N295" s="363">
        <f t="shared" si="9"/>
        <v>1.3567529770291284E-4</v>
      </c>
    </row>
    <row r="296" spans="2:14" ht="14.25" thickTop="1" thickBot="1">
      <c r="B296" s="250">
        <v>40102</v>
      </c>
      <c r="C296" s="272" t="s">
        <v>792</v>
      </c>
      <c r="D296" s="413">
        <v>6</v>
      </c>
      <c r="E296" s="413">
        <v>5</v>
      </c>
      <c r="F296" s="413">
        <v>2</v>
      </c>
      <c r="G296" s="413">
        <v>2</v>
      </c>
      <c r="H296" s="413">
        <v>3</v>
      </c>
      <c r="I296" s="413">
        <v>1</v>
      </c>
      <c r="J296" s="413">
        <v>2</v>
      </c>
      <c r="K296" s="413" t="s">
        <v>156</v>
      </c>
      <c r="L296" s="413">
        <v>3</v>
      </c>
      <c r="M296" s="413">
        <f t="shared" si="8"/>
        <v>24</v>
      </c>
      <c r="N296" s="363">
        <f t="shared" si="9"/>
        <v>2.5047747268230062E-4</v>
      </c>
    </row>
    <row r="297" spans="2:14" ht="14.25" thickTop="1" thickBot="1">
      <c r="B297" s="250">
        <v>40103</v>
      </c>
      <c r="C297" s="272" t="s">
        <v>761</v>
      </c>
      <c r="D297" s="413">
        <v>32</v>
      </c>
      <c r="E297" s="413">
        <v>13</v>
      </c>
      <c r="F297" s="413">
        <v>114</v>
      </c>
      <c r="G297" s="413">
        <v>38</v>
      </c>
      <c r="H297" s="413">
        <v>104</v>
      </c>
      <c r="I297" s="413">
        <v>33</v>
      </c>
      <c r="J297" s="413">
        <v>56</v>
      </c>
      <c r="K297" s="413">
        <v>29</v>
      </c>
      <c r="L297" s="413">
        <v>19</v>
      </c>
      <c r="M297" s="413">
        <f t="shared" si="8"/>
        <v>438</v>
      </c>
      <c r="N297" s="363">
        <f t="shared" si="9"/>
        <v>4.5712138764519867E-3</v>
      </c>
    </row>
    <row r="298" spans="2:14" ht="14.25" thickTop="1" thickBot="1">
      <c r="B298" s="250">
        <v>40104</v>
      </c>
      <c r="C298" s="272" t="s">
        <v>924</v>
      </c>
      <c r="D298" s="413">
        <v>7</v>
      </c>
      <c r="E298" s="413">
        <v>3</v>
      </c>
      <c r="F298" s="413">
        <v>40</v>
      </c>
      <c r="G298" s="413">
        <v>6</v>
      </c>
      <c r="H298" s="413">
        <v>59</v>
      </c>
      <c r="I298" s="413">
        <v>111</v>
      </c>
      <c r="J298" s="413">
        <v>22</v>
      </c>
      <c r="K298" s="413">
        <v>40</v>
      </c>
      <c r="L298" s="413">
        <v>4</v>
      </c>
      <c r="M298" s="413">
        <f t="shared" si="8"/>
        <v>292</v>
      </c>
      <c r="N298" s="363">
        <f t="shared" si="9"/>
        <v>3.0474759176346579E-3</v>
      </c>
    </row>
    <row r="299" spans="2:14" ht="14.25" thickTop="1" thickBot="1">
      <c r="B299" s="250">
        <v>40105</v>
      </c>
      <c r="C299" s="272" t="s">
        <v>925</v>
      </c>
      <c r="D299" s="413">
        <v>1</v>
      </c>
      <c r="E299" s="413" t="s">
        <v>156</v>
      </c>
      <c r="F299" s="413" t="s">
        <v>156</v>
      </c>
      <c r="G299" s="413">
        <v>1</v>
      </c>
      <c r="H299" s="413" t="s">
        <v>156</v>
      </c>
      <c r="I299" s="413">
        <v>23</v>
      </c>
      <c r="J299" s="413">
        <v>11</v>
      </c>
      <c r="K299" s="413">
        <v>1</v>
      </c>
      <c r="L299" s="413">
        <v>3</v>
      </c>
      <c r="M299" s="413">
        <f t="shared" si="8"/>
        <v>40</v>
      </c>
      <c r="N299" s="363">
        <f t="shared" si="9"/>
        <v>4.1746245447050106E-4</v>
      </c>
    </row>
    <row r="300" spans="2:14" ht="14.25" thickTop="1" thickBot="1">
      <c r="B300" s="250">
        <v>40201</v>
      </c>
      <c r="C300" s="272" t="s">
        <v>35</v>
      </c>
      <c r="D300" s="413">
        <v>3</v>
      </c>
      <c r="E300" s="413">
        <v>2</v>
      </c>
      <c r="F300" s="413" t="s">
        <v>156</v>
      </c>
      <c r="G300" s="413" t="s">
        <v>156</v>
      </c>
      <c r="H300" s="413">
        <v>1</v>
      </c>
      <c r="I300" s="413">
        <v>2</v>
      </c>
      <c r="J300" s="413" t="s">
        <v>156</v>
      </c>
      <c r="K300" s="413">
        <v>1</v>
      </c>
      <c r="L300" s="413" t="s">
        <v>156</v>
      </c>
      <c r="M300" s="413">
        <f t="shared" si="8"/>
        <v>9</v>
      </c>
      <c r="N300" s="363">
        <f t="shared" si="9"/>
        <v>9.3929052255862738E-5</v>
      </c>
    </row>
    <row r="301" spans="2:14" ht="14.25" thickTop="1" thickBot="1">
      <c r="B301" s="250">
        <v>40202</v>
      </c>
      <c r="C301" s="272" t="s">
        <v>790</v>
      </c>
      <c r="D301" s="413">
        <v>4</v>
      </c>
      <c r="E301" s="413">
        <v>6</v>
      </c>
      <c r="F301" s="413" t="s">
        <v>156</v>
      </c>
      <c r="G301" s="413">
        <v>7</v>
      </c>
      <c r="H301" s="413">
        <v>3</v>
      </c>
      <c r="I301" s="413">
        <v>2</v>
      </c>
      <c r="J301" s="413">
        <v>5</v>
      </c>
      <c r="K301" s="413">
        <v>3</v>
      </c>
      <c r="L301" s="413">
        <v>3</v>
      </c>
      <c r="M301" s="413">
        <f t="shared" si="8"/>
        <v>33</v>
      </c>
      <c r="N301" s="363">
        <f t="shared" si="9"/>
        <v>3.4440652493816337E-4</v>
      </c>
    </row>
    <row r="302" spans="2:14" ht="14.25" thickTop="1" thickBot="1">
      <c r="B302" s="250">
        <v>40203</v>
      </c>
      <c r="C302" s="272" t="s">
        <v>64</v>
      </c>
      <c r="D302" s="413" t="s">
        <v>156</v>
      </c>
      <c r="E302" s="413">
        <v>2</v>
      </c>
      <c r="F302" s="413">
        <v>2</v>
      </c>
      <c r="G302" s="413">
        <v>2</v>
      </c>
      <c r="H302" s="413" t="s">
        <v>156</v>
      </c>
      <c r="I302" s="413">
        <v>2</v>
      </c>
      <c r="J302" s="413" t="s">
        <v>156</v>
      </c>
      <c r="K302" s="413">
        <v>1</v>
      </c>
      <c r="L302" s="413">
        <v>1</v>
      </c>
      <c r="M302" s="413">
        <f t="shared" si="8"/>
        <v>10</v>
      </c>
      <c r="N302" s="363">
        <f t="shared" si="9"/>
        <v>1.0436561361762527E-4</v>
      </c>
    </row>
    <row r="303" spans="2:14" ht="14.25" thickTop="1" thickBot="1">
      <c r="B303" s="250">
        <v>40204</v>
      </c>
      <c r="C303" s="272" t="s">
        <v>830</v>
      </c>
      <c r="D303" s="413">
        <v>2</v>
      </c>
      <c r="E303" s="413" t="s">
        <v>156</v>
      </c>
      <c r="F303" s="413">
        <v>1</v>
      </c>
      <c r="G303" s="413">
        <v>2</v>
      </c>
      <c r="H303" s="413">
        <v>2</v>
      </c>
      <c r="I303" s="413">
        <v>1</v>
      </c>
      <c r="J303" s="413">
        <v>1</v>
      </c>
      <c r="K303" s="413">
        <v>1</v>
      </c>
      <c r="L303" s="413" t="s">
        <v>156</v>
      </c>
      <c r="M303" s="413">
        <f t="shared" si="8"/>
        <v>10</v>
      </c>
      <c r="N303" s="363">
        <f t="shared" si="9"/>
        <v>1.0436561361762527E-4</v>
      </c>
    </row>
    <row r="304" spans="2:14" ht="14.25" thickTop="1" thickBot="1">
      <c r="B304" s="250">
        <v>40205</v>
      </c>
      <c r="C304" s="272" t="s">
        <v>926</v>
      </c>
      <c r="D304" s="413">
        <v>2</v>
      </c>
      <c r="E304" s="413">
        <v>1</v>
      </c>
      <c r="F304" s="413">
        <v>1</v>
      </c>
      <c r="G304" s="413">
        <v>1</v>
      </c>
      <c r="H304" s="413">
        <v>2</v>
      </c>
      <c r="I304" s="413">
        <v>2</v>
      </c>
      <c r="J304" s="413">
        <v>1</v>
      </c>
      <c r="K304" s="413">
        <v>1</v>
      </c>
      <c r="L304" s="413">
        <v>1</v>
      </c>
      <c r="M304" s="413">
        <f t="shared" si="8"/>
        <v>12</v>
      </c>
      <c r="N304" s="363">
        <f t="shared" si="9"/>
        <v>1.2523873634115031E-4</v>
      </c>
    </row>
    <row r="305" spans="2:14" ht="14.25" thickTop="1" thickBot="1">
      <c r="B305" s="250">
        <v>40206</v>
      </c>
      <c r="C305" s="272" t="s">
        <v>927</v>
      </c>
      <c r="D305" s="413">
        <v>2</v>
      </c>
      <c r="E305" s="413">
        <v>2</v>
      </c>
      <c r="F305" s="413" t="s">
        <v>156</v>
      </c>
      <c r="G305" s="413">
        <v>1</v>
      </c>
      <c r="H305" s="413">
        <v>2</v>
      </c>
      <c r="I305" s="413" t="s">
        <v>156</v>
      </c>
      <c r="J305" s="413" t="s">
        <v>156</v>
      </c>
      <c r="K305" s="413" t="s">
        <v>156</v>
      </c>
      <c r="L305" s="413">
        <v>1</v>
      </c>
      <c r="M305" s="413">
        <f t="shared" si="8"/>
        <v>8</v>
      </c>
      <c r="N305" s="363">
        <f t="shared" si="9"/>
        <v>8.349249089410021E-5</v>
      </c>
    </row>
    <row r="306" spans="2:14" ht="14.25" thickTop="1" thickBot="1">
      <c r="B306" s="250">
        <v>40301</v>
      </c>
      <c r="C306" s="272" t="s">
        <v>61</v>
      </c>
      <c r="D306" s="413" t="s">
        <v>156</v>
      </c>
      <c r="E306" s="413">
        <v>1</v>
      </c>
      <c r="F306" s="413">
        <v>1</v>
      </c>
      <c r="G306" s="413" t="s">
        <v>156</v>
      </c>
      <c r="H306" s="413" t="s">
        <v>156</v>
      </c>
      <c r="I306" s="413">
        <v>1</v>
      </c>
      <c r="J306" s="413" t="s">
        <v>156</v>
      </c>
      <c r="K306" s="413" t="s">
        <v>156</v>
      </c>
      <c r="L306" s="413" t="s">
        <v>156</v>
      </c>
      <c r="M306" s="413">
        <f t="shared" si="8"/>
        <v>3</v>
      </c>
      <c r="N306" s="363">
        <f t="shared" si="9"/>
        <v>3.1309684085287577E-5</v>
      </c>
    </row>
    <row r="307" spans="2:14" ht="14.25" thickTop="1" thickBot="1">
      <c r="B307" s="250">
        <v>40302</v>
      </c>
      <c r="C307" s="272" t="s">
        <v>787</v>
      </c>
      <c r="D307" s="413" t="s">
        <v>156</v>
      </c>
      <c r="E307" s="413" t="s">
        <v>156</v>
      </c>
      <c r="F307" s="413" t="s">
        <v>156</v>
      </c>
      <c r="G307" s="413" t="s">
        <v>156</v>
      </c>
      <c r="H307" s="413">
        <v>1</v>
      </c>
      <c r="I307" s="413">
        <v>1</v>
      </c>
      <c r="J307" s="413" t="s">
        <v>156</v>
      </c>
      <c r="K307" s="413" t="s">
        <v>156</v>
      </c>
      <c r="L307" s="413" t="s">
        <v>156</v>
      </c>
      <c r="M307" s="413">
        <f t="shared" si="8"/>
        <v>2</v>
      </c>
      <c r="N307" s="363">
        <f t="shared" si="9"/>
        <v>2.0873122723525052E-5</v>
      </c>
    </row>
    <row r="308" spans="2:14" ht="14.25" thickTop="1" thickBot="1">
      <c r="B308" s="250">
        <v>40303</v>
      </c>
      <c r="C308" s="272" t="s">
        <v>727</v>
      </c>
      <c r="D308" s="413" t="s">
        <v>156</v>
      </c>
      <c r="E308" s="413">
        <v>2</v>
      </c>
      <c r="F308" s="413">
        <v>2</v>
      </c>
      <c r="G308" s="413">
        <v>1</v>
      </c>
      <c r="H308" s="413">
        <v>1</v>
      </c>
      <c r="I308" s="413">
        <v>3</v>
      </c>
      <c r="J308" s="413">
        <v>4</v>
      </c>
      <c r="K308" s="413">
        <v>3</v>
      </c>
      <c r="L308" s="413">
        <v>1</v>
      </c>
      <c r="M308" s="413">
        <f t="shared" si="8"/>
        <v>17</v>
      </c>
      <c r="N308" s="363">
        <f t="shared" si="9"/>
        <v>1.7742154314996295E-4</v>
      </c>
    </row>
    <row r="309" spans="2:14" ht="14.25" thickTop="1" thickBot="1">
      <c r="B309" s="250">
        <v>40304</v>
      </c>
      <c r="C309" s="272" t="s">
        <v>928</v>
      </c>
      <c r="D309" s="413">
        <v>1</v>
      </c>
      <c r="E309" s="413">
        <v>1</v>
      </c>
      <c r="F309" s="413" t="s">
        <v>156</v>
      </c>
      <c r="G309" s="413" t="s">
        <v>156</v>
      </c>
      <c r="H309" s="413" t="s">
        <v>156</v>
      </c>
      <c r="I309" s="413" t="s">
        <v>156</v>
      </c>
      <c r="J309" s="413">
        <v>1</v>
      </c>
      <c r="K309" s="413" t="s">
        <v>156</v>
      </c>
      <c r="L309" s="413" t="s">
        <v>156</v>
      </c>
      <c r="M309" s="413">
        <f t="shared" si="8"/>
        <v>3</v>
      </c>
      <c r="N309" s="363">
        <f t="shared" si="9"/>
        <v>3.1309684085287577E-5</v>
      </c>
    </row>
    <row r="310" spans="2:14" ht="14.25" thickTop="1" thickBot="1">
      <c r="B310" s="250">
        <v>40305</v>
      </c>
      <c r="C310" s="272" t="s">
        <v>929</v>
      </c>
      <c r="D310" s="413">
        <v>2</v>
      </c>
      <c r="E310" s="413">
        <v>1</v>
      </c>
      <c r="F310" s="413">
        <v>1</v>
      </c>
      <c r="G310" s="413">
        <v>1</v>
      </c>
      <c r="H310" s="413" t="s">
        <v>156</v>
      </c>
      <c r="I310" s="413">
        <v>2</v>
      </c>
      <c r="J310" s="413">
        <v>1</v>
      </c>
      <c r="K310" s="413">
        <v>1</v>
      </c>
      <c r="L310" s="413">
        <v>2</v>
      </c>
      <c r="M310" s="413">
        <f t="shared" si="8"/>
        <v>11</v>
      </c>
      <c r="N310" s="363">
        <f t="shared" si="9"/>
        <v>1.1480217497938779E-4</v>
      </c>
    </row>
    <row r="311" spans="2:14" ht="14.25" thickTop="1" thickBot="1">
      <c r="B311" s="250">
        <v>40306</v>
      </c>
      <c r="C311" s="272" t="s">
        <v>911</v>
      </c>
      <c r="D311" s="413">
        <v>2</v>
      </c>
      <c r="E311" s="413">
        <v>4</v>
      </c>
      <c r="F311" s="413">
        <v>1</v>
      </c>
      <c r="G311" s="413" t="s">
        <v>156</v>
      </c>
      <c r="H311" s="413">
        <v>2</v>
      </c>
      <c r="I311" s="413">
        <v>1</v>
      </c>
      <c r="J311" s="413">
        <v>1</v>
      </c>
      <c r="K311" s="413" t="s">
        <v>156</v>
      </c>
      <c r="L311" s="413">
        <v>1</v>
      </c>
      <c r="M311" s="413">
        <f t="shared" si="8"/>
        <v>12</v>
      </c>
      <c r="N311" s="363">
        <f t="shared" si="9"/>
        <v>1.2523873634115031E-4</v>
      </c>
    </row>
    <row r="312" spans="2:14" ht="14.25" thickTop="1" thickBot="1">
      <c r="B312" s="250">
        <v>40307</v>
      </c>
      <c r="C312" s="272" t="s">
        <v>930</v>
      </c>
      <c r="D312" s="413" t="s">
        <v>156</v>
      </c>
      <c r="E312" s="413" t="s">
        <v>156</v>
      </c>
      <c r="F312" s="413" t="s">
        <v>156</v>
      </c>
      <c r="G312" s="413">
        <v>146</v>
      </c>
      <c r="H312" s="413">
        <v>5</v>
      </c>
      <c r="I312" s="413">
        <v>14</v>
      </c>
      <c r="J312" s="413">
        <v>1</v>
      </c>
      <c r="K312" s="413">
        <v>2</v>
      </c>
      <c r="L312" s="413" t="s">
        <v>156</v>
      </c>
      <c r="M312" s="413">
        <f t="shared" si="8"/>
        <v>168</v>
      </c>
      <c r="N312" s="363">
        <f t="shared" si="9"/>
        <v>1.7533423087761045E-3</v>
      </c>
    </row>
    <row r="313" spans="2:14" ht="14.25" thickTop="1" thickBot="1">
      <c r="B313" s="250">
        <v>40308</v>
      </c>
      <c r="C313" s="272" t="s">
        <v>931</v>
      </c>
      <c r="D313" s="413">
        <v>2</v>
      </c>
      <c r="E313" s="413" t="s">
        <v>156</v>
      </c>
      <c r="F313" s="413">
        <v>1</v>
      </c>
      <c r="G313" s="413" t="s">
        <v>156</v>
      </c>
      <c r="H313" s="413">
        <v>1</v>
      </c>
      <c r="I313" s="413" t="s">
        <v>156</v>
      </c>
      <c r="J313" s="413" t="s">
        <v>156</v>
      </c>
      <c r="K313" s="413">
        <v>2</v>
      </c>
      <c r="L313" s="413" t="s">
        <v>156</v>
      </c>
      <c r="M313" s="413">
        <f t="shared" si="8"/>
        <v>6</v>
      </c>
      <c r="N313" s="363">
        <f t="shared" si="9"/>
        <v>6.2619368170575154E-5</v>
      </c>
    </row>
    <row r="314" spans="2:14" ht="14.25" thickTop="1" thickBot="1">
      <c r="B314" s="250">
        <v>40401</v>
      </c>
      <c r="C314" s="272" t="s">
        <v>62</v>
      </c>
      <c r="D314" s="413">
        <v>1</v>
      </c>
      <c r="E314" s="413">
        <v>1</v>
      </c>
      <c r="F314" s="413">
        <v>1</v>
      </c>
      <c r="G314" s="413">
        <v>1</v>
      </c>
      <c r="H314" s="413">
        <v>1</v>
      </c>
      <c r="I314" s="413">
        <v>2</v>
      </c>
      <c r="J314" s="413" t="s">
        <v>156</v>
      </c>
      <c r="K314" s="413" t="s">
        <v>156</v>
      </c>
      <c r="L314" s="413">
        <v>2</v>
      </c>
      <c r="M314" s="413">
        <f t="shared" si="8"/>
        <v>9</v>
      </c>
      <c r="N314" s="363">
        <f t="shared" si="9"/>
        <v>9.3929052255862738E-5</v>
      </c>
    </row>
    <row r="315" spans="2:14" ht="14.25" thickTop="1" thickBot="1">
      <c r="B315" s="250">
        <v>40402</v>
      </c>
      <c r="C315" s="272" t="s">
        <v>790</v>
      </c>
      <c r="D315" s="413">
        <v>1</v>
      </c>
      <c r="E315" s="413">
        <v>1</v>
      </c>
      <c r="F315" s="413">
        <v>2</v>
      </c>
      <c r="G315" s="413">
        <v>3</v>
      </c>
      <c r="H315" s="413">
        <v>1</v>
      </c>
      <c r="I315" s="413">
        <v>2</v>
      </c>
      <c r="J315" s="413">
        <v>1</v>
      </c>
      <c r="K315" s="413">
        <v>2</v>
      </c>
      <c r="L315" s="413">
        <v>1</v>
      </c>
      <c r="M315" s="413">
        <f t="shared" si="8"/>
        <v>14</v>
      </c>
      <c r="N315" s="363">
        <f t="shared" si="9"/>
        <v>1.4611185906467536E-4</v>
      </c>
    </row>
    <row r="316" spans="2:14" ht="14.25" thickTop="1" thickBot="1">
      <c r="B316" s="250">
        <v>40403</v>
      </c>
      <c r="C316" s="272" t="s">
        <v>782</v>
      </c>
      <c r="D316" s="413">
        <v>4</v>
      </c>
      <c r="E316" s="413">
        <v>3</v>
      </c>
      <c r="F316" s="413">
        <v>3</v>
      </c>
      <c r="G316" s="413">
        <v>2</v>
      </c>
      <c r="H316" s="413">
        <v>3</v>
      </c>
      <c r="I316" s="413">
        <v>2</v>
      </c>
      <c r="J316" s="413">
        <v>1</v>
      </c>
      <c r="K316" s="413">
        <v>3</v>
      </c>
      <c r="L316" s="413">
        <v>1</v>
      </c>
      <c r="M316" s="413">
        <f t="shared" si="8"/>
        <v>22</v>
      </c>
      <c r="N316" s="363">
        <f t="shared" si="9"/>
        <v>2.2960434995877559E-4</v>
      </c>
    </row>
    <row r="317" spans="2:14" ht="14.25" thickTop="1" thickBot="1">
      <c r="B317" s="250">
        <v>40404</v>
      </c>
      <c r="C317" s="272" t="s">
        <v>838</v>
      </c>
      <c r="D317" s="413">
        <v>7</v>
      </c>
      <c r="E317" s="413">
        <v>7</v>
      </c>
      <c r="F317" s="413">
        <v>2</v>
      </c>
      <c r="G317" s="413">
        <v>4</v>
      </c>
      <c r="H317" s="413">
        <v>2</v>
      </c>
      <c r="I317" s="413">
        <v>4</v>
      </c>
      <c r="J317" s="413">
        <v>5</v>
      </c>
      <c r="K317" s="413" t="s">
        <v>156</v>
      </c>
      <c r="L317" s="413">
        <v>7</v>
      </c>
      <c r="M317" s="413">
        <f t="shared" si="8"/>
        <v>38</v>
      </c>
      <c r="N317" s="363">
        <f t="shared" si="9"/>
        <v>3.9658933174697601E-4</v>
      </c>
    </row>
    <row r="318" spans="2:14" ht="14.25" thickTop="1" thickBot="1">
      <c r="B318" s="250">
        <v>40405</v>
      </c>
      <c r="C318" s="272" t="s">
        <v>61</v>
      </c>
      <c r="D318" s="413">
        <v>4</v>
      </c>
      <c r="E318" s="413">
        <v>2</v>
      </c>
      <c r="F318" s="413">
        <v>1</v>
      </c>
      <c r="G318" s="413" t="s">
        <v>156</v>
      </c>
      <c r="H318" s="413">
        <v>1</v>
      </c>
      <c r="I318" s="413">
        <v>4</v>
      </c>
      <c r="J318" s="413">
        <v>3</v>
      </c>
      <c r="K318" s="413">
        <v>1</v>
      </c>
      <c r="L318" s="413">
        <v>1</v>
      </c>
      <c r="M318" s="413">
        <f t="shared" si="8"/>
        <v>17</v>
      </c>
      <c r="N318" s="363">
        <f t="shared" si="9"/>
        <v>1.7742154314996295E-4</v>
      </c>
    </row>
    <row r="319" spans="2:14" ht="14.25" thickTop="1" thickBot="1">
      <c r="B319" s="250">
        <v>40406</v>
      </c>
      <c r="C319" s="272" t="s">
        <v>932</v>
      </c>
      <c r="D319" s="413">
        <v>1</v>
      </c>
      <c r="E319" s="413">
        <v>1</v>
      </c>
      <c r="F319" s="413">
        <v>2</v>
      </c>
      <c r="G319" s="413">
        <v>1</v>
      </c>
      <c r="H319" s="413">
        <v>2</v>
      </c>
      <c r="I319" s="413">
        <v>3</v>
      </c>
      <c r="J319" s="413">
        <v>3</v>
      </c>
      <c r="K319" s="413">
        <v>4</v>
      </c>
      <c r="L319" s="413">
        <v>2</v>
      </c>
      <c r="M319" s="413">
        <f t="shared" si="8"/>
        <v>19</v>
      </c>
      <c r="N319" s="363">
        <f t="shared" si="9"/>
        <v>1.98294665873488E-4</v>
      </c>
    </row>
    <row r="320" spans="2:14" ht="14.25" thickTop="1" thickBot="1">
      <c r="B320" s="250">
        <v>40501</v>
      </c>
      <c r="C320" s="272" t="s">
        <v>18</v>
      </c>
      <c r="D320" s="413">
        <v>1</v>
      </c>
      <c r="E320" s="413">
        <v>1</v>
      </c>
      <c r="F320" s="413" t="s">
        <v>156</v>
      </c>
      <c r="G320" s="413">
        <v>4</v>
      </c>
      <c r="H320" s="413">
        <v>1</v>
      </c>
      <c r="I320" s="413">
        <v>1</v>
      </c>
      <c r="J320" s="413">
        <v>1</v>
      </c>
      <c r="K320" s="413">
        <v>2</v>
      </c>
      <c r="L320" s="413">
        <v>1</v>
      </c>
      <c r="M320" s="413">
        <f t="shared" si="8"/>
        <v>12</v>
      </c>
      <c r="N320" s="363">
        <f t="shared" si="9"/>
        <v>1.2523873634115031E-4</v>
      </c>
    </row>
    <row r="321" spans="2:14" ht="14.25" thickTop="1" thickBot="1">
      <c r="B321" s="250">
        <v>40502</v>
      </c>
      <c r="C321" s="272" t="s">
        <v>771</v>
      </c>
      <c r="D321" s="413" t="s">
        <v>156</v>
      </c>
      <c r="E321" s="413">
        <v>2</v>
      </c>
      <c r="F321" s="413">
        <v>9</v>
      </c>
      <c r="G321" s="413">
        <v>8</v>
      </c>
      <c r="H321" s="413">
        <v>6</v>
      </c>
      <c r="I321" s="413">
        <v>1</v>
      </c>
      <c r="J321" s="413">
        <v>3</v>
      </c>
      <c r="K321" s="413">
        <v>2</v>
      </c>
      <c r="L321" s="413">
        <v>2</v>
      </c>
      <c r="M321" s="413">
        <f t="shared" si="8"/>
        <v>33</v>
      </c>
      <c r="N321" s="363">
        <f t="shared" si="9"/>
        <v>3.4440652493816337E-4</v>
      </c>
    </row>
    <row r="322" spans="2:14" ht="14.25" thickTop="1" thickBot="1">
      <c r="B322" s="250">
        <v>40503</v>
      </c>
      <c r="C322" s="272" t="s">
        <v>738</v>
      </c>
      <c r="D322" s="413" t="s">
        <v>156</v>
      </c>
      <c r="E322" s="413">
        <v>2</v>
      </c>
      <c r="F322" s="413" t="s">
        <v>156</v>
      </c>
      <c r="G322" s="413">
        <v>1</v>
      </c>
      <c r="H322" s="413" t="s">
        <v>156</v>
      </c>
      <c r="I322" s="413" t="s">
        <v>156</v>
      </c>
      <c r="J322" s="413" t="s">
        <v>156</v>
      </c>
      <c r="K322" s="413">
        <v>1</v>
      </c>
      <c r="L322" s="413" t="s">
        <v>156</v>
      </c>
      <c r="M322" s="413">
        <f t="shared" si="8"/>
        <v>4</v>
      </c>
      <c r="N322" s="363">
        <f t="shared" si="9"/>
        <v>4.1746245447050105E-5</v>
      </c>
    </row>
    <row r="323" spans="2:14" ht="14.25" thickTop="1" thickBot="1">
      <c r="B323" s="250">
        <v>40504</v>
      </c>
      <c r="C323" s="272" t="s">
        <v>824</v>
      </c>
      <c r="D323" s="413">
        <v>5</v>
      </c>
      <c r="E323" s="413">
        <v>4</v>
      </c>
      <c r="F323" s="413">
        <v>1</v>
      </c>
      <c r="G323" s="413">
        <v>2</v>
      </c>
      <c r="H323" s="413">
        <v>7</v>
      </c>
      <c r="I323" s="413">
        <v>2</v>
      </c>
      <c r="J323" s="413">
        <v>1</v>
      </c>
      <c r="K323" s="413">
        <v>1</v>
      </c>
      <c r="L323" s="413">
        <v>3</v>
      </c>
      <c r="M323" s="413">
        <f t="shared" si="8"/>
        <v>26</v>
      </c>
      <c r="N323" s="363">
        <f t="shared" si="9"/>
        <v>2.7135059540582567E-4</v>
      </c>
    </row>
    <row r="324" spans="2:14" ht="14.25" thickTop="1" thickBot="1">
      <c r="B324" s="250">
        <v>40505</v>
      </c>
      <c r="C324" s="272" t="s">
        <v>772</v>
      </c>
      <c r="D324" s="413" t="s">
        <v>156</v>
      </c>
      <c r="E324" s="413">
        <v>1</v>
      </c>
      <c r="F324" s="413">
        <v>2</v>
      </c>
      <c r="G324" s="413" t="s">
        <v>156</v>
      </c>
      <c r="H324" s="413">
        <v>1</v>
      </c>
      <c r="I324" s="413">
        <v>5</v>
      </c>
      <c r="J324" s="413">
        <v>1</v>
      </c>
      <c r="K324" s="413">
        <v>3</v>
      </c>
      <c r="L324" s="413" t="s">
        <v>156</v>
      </c>
      <c r="M324" s="413">
        <f t="shared" si="8"/>
        <v>13</v>
      </c>
      <c r="N324" s="363">
        <f t="shared" si="9"/>
        <v>1.3567529770291284E-4</v>
      </c>
    </row>
    <row r="325" spans="2:14" ht="14.25" thickTop="1" thickBot="1">
      <c r="B325" s="250">
        <v>40601</v>
      </c>
      <c r="C325" s="272" t="s">
        <v>63</v>
      </c>
      <c r="D325" s="413">
        <v>1</v>
      </c>
      <c r="E325" s="413">
        <v>3</v>
      </c>
      <c r="F325" s="413">
        <v>1</v>
      </c>
      <c r="G325" s="413">
        <v>2</v>
      </c>
      <c r="H325" s="413" t="s">
        <v>156</v>
      </c>
      <c r="I325" s="413">
        <v>1</v>
      </c>
      <c r="J325" s="413">
        <v>1</v>
      </c>
      <c r="K325" s="413">
        <v>2</v>
      </c>
      <c r="L325" s="413">
        <v>1</v>
      </c>
      <c r="M325" s="413">
        <f t="shared" si="8"/>
        <v>12</v>
      </c>
      <c r="N325" s="363">
        <f t="shared" si="9"/>
        <v>1.2523873634115031E-4</v>
      </c>
    </row>
    <row r="326" spans="2:14" ht="14.25" thickTop="1" thickBot="1">
      <c r="B326" s="250">
        <v>40602</v>
      </c>
      <c r="C326" s="272" t="s">
        <v>16</v>
      </c>
      <c r="D326" s="413">
        <v>2</v>
      </c>
      <c r="E326" s="413">
        <v>1</v>
      </c>
      <c r="F326" s="413" t="s">
        <v>156</v>
      </c>
      <c r="G326" s="413" t="s">
        <v>156</v>
      </c>
      <c r="H326" s="413" t="s">
        <v>156</v>
      </c>
      <c r="I326" s="413">
        <v>2</v>
      </c>
      <c r="J326" s="413">
        <v>2</v>
      </c>
      <c r="K326" s="413" t="s">
        <v>156</v>
      </c>
      <c r="L326" s="413">
        <v>2</v>
      </c>
      <c r="M326" s="413">
        <f t="shared" ref="M326:M389" si="10">SUM(D326:L326)</f>
        <v>9</v>
      </c>
      <c r="N326" s="363">
        <f t="shared" si="9"/>
        <v>9.3929052255862738E-5</v>
      </c>
    </row>
    <row r="327" spans="2:14" ht="14.25" thickTop="1" thickBot="1">
      <c r="B327" s="250">
        <v>40603</v>
      </c>
      <c r="C327" s="272" t="s">
        <v>772</v>
      </c>
      <c r="D327" s="413">
        <v>3</v>
      </c>
      <c r="E327" s="413">
        <v>3</v>
      </c>
      <c r="F327" s="413" t="s">
        <v>156</v>
      </c>
      <c r="G327" s="413" t="s">
        <v>156</v>
      </c>
      <c r="H327" s="413">
        <v>1</v>
      </c>
      <c r="I327" s="413">
        <v>1</v>
      </c>
      <c r="J327" s="413" t="s">
        <v>156</v>
      </c>
      <c r="K327" s="413">
        <v>1</v>
      </c>
      <c r="L327" s="413">
        <v>1</v>
      </c>
      <c r="M327" s="413">
        <f t="shared" si="10"/>
        <v>10</v>
      </c>
      <c r="N327" s="363">
        <f t="shared" ref="N327:N390" si="11">+M327/$M$491</f>
        <v>1.0436561361762527E-4</v>
      </c>
    </row>
    <row r="328" spans="2:14" ht="14.25" thickTop="1" thickBot="1">
      <c r="B328" s="250">
        <v>40604</v>
      </c>
      <c r="C328" s="272" t="s">
        <v>761</v>
      </c>
      <c r="D328" s="413" t="s">
        <v>156</v>
      </c>
      <c r="E328" s="413">
        <v>1</v>
      </c>
      <c r="F328" s="413" t="s">
        <v>156</v>
      </c>
      <c r="G328" s="413" t="s">
        <v>156</v>
      </c>
      <c r="H328" s="413" t="s">
        <v>156</v>
      </c>
      <c r="I328" s="413">
        <v>1</v>
      </c>
      <c r="J328" s="413" t="s">
        <v>156</v>
      </c>
      <c r="K328" s="413" t="s">
        <v>156</v>
      </c>
      <c r="L328" s="413">
        <v>1</v>
      </c>
      <c r="M328" s="413">
        <f t="shared" si="10"/>
        <v>3</v>
      </c>
      <c r="N328" s="363">
        <f t="shared" si="11"/>
        <v>3.1309684085287577E-5</v>
      </c>
    </row>
    <row r="329" spans="2:14" ht="14.25" thickTop="1" thickBot="1">
      <c r="B329" s="250">
        <v>40701</v>
      </c>
      <c r="C329" s="272" t="s">
        <v>726</v>
      </c>
      <c r="D329" s="413">
        <v>2</v>
      </c>
      <c r="E329" s="413">
        <v>4</v>
      </c>
      <c r="F329" s="413">
        <v>2</v>
      </c>
      <c r="G329" s="413">
        <v>1</v>
      </c>
      <c r="H329" s="413">
        <v>3</v>
      </c>
      <c r="I329" s="413" t="s">
        <v>156</v>
      </c>
      <c r="J329" s="413">
        <v>1</v>
      </c>
      <c r="K329" s="413">
        <v>3</v>
      </c>
      <c r="L329" s="413">
        <v>39</v>
      </c>
      <c r="M329" s="413">
        <f t="shared" si="10"/>
        <v>55</v>
      </c>
      <c r="N329" s="363">
        <f t="shared" si="11"/>
        <v>5.7401087489693898E-4</v>
      </c>
    </row>
    <row r="330" spans="2:14" ht="14.25" thickTop="1" thickBot="1">
      <c r="B330" s="250">
        <v>40702</v>
      </c>
      <c r="C330" s="272" t="s">
        <v>933</v>
      </c>
      <c r="D330" s="413" t="s">
        <v>156</v>
      </c>
      <c r="E330" s="413">
        <v>2</v>
      </c>
      <c r="F330" s="413" t="s">
        <v>156</v>
      </c>
      <c r="G330" s="413" t="s">
        <v>156</v>
      </c>
      <c r="H330" s="413">
        <v>2</v>
      </c>
      <c r="I330" s="413">
        <v>1</v>
      </c>
      <c r="J330" s="413" t="s">
        <v>156</v>
      </c>
      <c r="K330" s="413" t="s">
        <v>156</v>
      </c>
      <c r="L330" s="413" t="s">
        <v>156</v>
      </c>
      <c r="M330" s="413">
        <f t="shared" si="10"/>
        <v>5</v>
      </c>
      <c r="N330" s="363">
        <f t="shared" si="11"/>
        <v>5.2182806808812633E-5</v>
      </c>
    </row>
    <row r="331" spans="2:14" ht="14.25" thickTop="1" thickBot="1">
      <c r="B331" s="250">
        <v>40703</v>
      </c>
      <c r="C331" s="272" t="s">
        <v>934</v>
      </c>
      <c r="D331" s="413" t="s">
        <v>156</v>
      </c>
      <c r="E331" s="413" t="s">
        <v>156</v>
      </c>
      <c r="F331" s="413" t="s">
        <v>156</v>
      </c>
      <c r="G331" s="413" t="s">
        <v>156</v>
      </c>
      <c r="H331" s="413" t="s">
        <v>156</v>
      </c>
      <c r="I331" s="413" t="s">
        <v>156</v>
      </c>
      <c r="J331" s="413">
        <v>1</v>
      </c>
      <c r="K331" s="413">
        <v>1</v>
      </c>
      <c r="L331" s="413">
        <v>1</v>
      </c>
      <c r="M331" s="413">
        <f t="shared" si="10"/>
        <v>3</v>
      </c>
      <c r="N331" s="363">
        <f t="shared" si="11"/>
        <v>3.1309684085287577E-5</v>
      </c>
    </row>
    <row r="332" spans="2:14" ht="14.25" thickTop="1" thickBot="1">
      <c r="B332" s="250">
        <v>40801</v>
      </c>
      <c r="C332" s="272" t="s">
        <v>935</v>
      </c>
      <c r="D332" s="413">
        <v>1</v>
      </c>
      <c r="E332" s="413">
        <v>2</v>
      </c>
      <c r="F332" s="413">
        <v>1</v>
      </c>
      <c r="G332" s="413" t="s">
        <v>156</v>
      </c>
      <c r="H332" s="413" t="s">
        <v>156</v>
      </c>
      <c r="I332" s="413" t="s">
        <v>156</v>
      </c>
      <c r="J332" s="413">
        <v>1</v>
      </c>
      <c r="K332" s="413" t="s">
        <v>156</v>
      </c>
      <c r="L332" s="413" t="s">
        <v>156</v>
      </c>
      <c r="M332" s="413">
        <f t="shared" si="10"/>
        <v>5</v>
      </c>
      <c r="N332" s="363">
        <f t="shared" si="11"/>
        <v>5.2182806808812633E-5</v>
      </c>
    </row>
    <row r="333" spans="2:14" ht="14.25" thickTop="1" thickBot="1">
      <c r="B333" s="250">
        <v>40802</v>
      </c>
      <c r="C333" s="272" t="s">
        <v>936</v>
      </c>
      <c r="D333" s="413">
        <v>1</v>
      </c>
      <c r="E333" s="413">
        <v>1</v>
      </c>
      <c r="F333" s="413" t="s">
        <v>156</v>
      </c>
      <c r="G333" s="413">
        <v>1</v>
      </c>
      <c r="H333" s="413" t="s">
        <v>156</v>
      </c>
      <c r="I333" s="413" t="s">
        <v>156</v>
      </c>
      <c r="J333" s="413">
        <v>3</v>
      </c>
      <c r="K333" s="413">
        <v>1</v>
      </c>
      <c r="L333" s="413" t="s">
        <v>156</v>
      </c>
      <c r="M333" s="413">
        <f t="shared" si="10"/>
        <v>7</v>
      </c>
      <c r="N333" s="363">
        <f t="shared" si="11"/>
        <v>7.3055929532337682E-5</v>
      </c>
    </row>
    <row r="334" spans="2:14" ht="14.25" thickTop="1" thickBot="1">
      <c r="B334" s="250">
        <v>40803</v>
      </c>
      <c r="C334" s="272" t="s">
        <v>937</v>
      </c>
      <c r="D334" s="413">
        <v>4</v>
      </c>
      <c r="E334" s="413">
        <v>3</v>
      </c>
      <c r="F334" s="413">
        <v>5</v>
      </c>
      <c r="G334" s="413" t="s">
        <v>156</v>
      </c>
      <c r="H334" s="413">
        <v>2</v>
      </c>
      <c r="I334" s="413">
        <v>4</v>
      </c>
      <c r="J334" s="413">
        <v>1</v>
      </c>
      <c r="K334" s="413">
        <v>2</v>
      </c>
      <c r="L334" s="413">
        <v>2</v>
      </c>
      <c r="M334" s="413">
        <f t="shared" si="10"/>
        <v>23</v>
      </c>
      <c r="N334" s="363">
        <f t="shared" si="11"/>
        <v>2.4004091132053812E-4</v>
      </c>
    </row>
    <row r="335" spans="2:14" ht="14.25" thickTop="1" thickBot="1">
      <c r="B335" s="250">
        <v>40901</v>
      </c>
      <c r="C335" s="272" t="s">
        <v>64</v>
      </c>
      <c r="D335" s="413">
        <v>3</v>
      </c>
      <c r="E335" s="413">
        <v>4</v>
      </c>
      <c r="F335" s="413">
        <v>1</v>
      </c>
      <c r="G335" s="413">
        <v>3</v>
      </c>
      <c r="H335" s="413">
        <v>5</v>
      </c>
      <c r="I335" s="413">
        <v>3</v>
      </c>
      <c r="J335" s="413">
        <v>2</v>
      </c>
      <c r="K335" s="413">
        <v>1</v>
      </c>
      <c r="L335" s="413">
        <v>1</v>
      </c>
      <c r="M335" s="413">
        <f t="shared" si="10"/>
        <v>23</v>
      </c>
      <c r="N335" s="363">
        <f t="shared" si="11"/>
        <v>2.4004091132053812E-4</v>
      </c>
    </row>
    <row r="336" spans="2:14" ht="14.25" thickTop="1" thickBot="1">
      <c r="B336" s="250">
        <v>40902</v>
      </c>
      <c r="C336" s="272" t="s">
        <v>938</v>
      </c>
      <c r="D336" s="413" t="s">
        <v>156</v>
      </c>
      <c r="E336" s="413" t="s">
        <v>156</v>
      </c>
      <c r="F336" s="413" t="s">
        <v>156</v>
      </c>
      <c r="G336" s="413" t="s">
        <v>156</v>
      </c>
      <c r="H336" s="413" t="s">
        <v>156</v>
      </c>
      <c r="I336" s="413" t="s">
        <v>156</v>
      </c>
      <c r="J336" s="413" t="s">
        <v>156</v>
      </c>
      <c r="K336" s="413" t="s">
        <v>156</v>
      </c>
      <c r="L336" s="413">
        <v>1</v>
      </c>
      <c r="M336" s="413">
        <f t="shared" si="10"/>
        <v>1</v>
      </c>
      <c r="N336" s="363">
        <f t="shared" si="11"/>
        <v>1.0436561361762526E-5</v>
      </c>
    </row>
    <row r="337" spans="2:14" ht="14.25" thickTop="1" thickBot="1">
      <c r="B337" s="250">
        <v>41001</v>
      </c>
      <c r="C337" s="272" t="s">
        <v>939</v>
      </c>
      <c r="D337" s="413">
        <v>116</v>
      </c>
      <c r="E337" s="413">
        <v>37</v>
      </c>
      <c r="F337" s="413">
        <v>36</v>
      </c>
      <c r="G337" s="413">
        <v>23</v>
      </c>
      <c r="H337" s="413">
        <v>91</v>
      </c>
      <c r="I337" s="413">
        <v>57</v>
      </c>
      <c r="J337" s="413">
        <v>87</v>
      </c>
      <c r="K337" s="413">
        <v>100</v>
      </c>
      <c r="L337" s="413">
        <v>79</v>
      </c>
      <c r="M337" s="413">
        <f t="shared" si="10"/>
        <v>626</v>
      </c>
      <c r="N337" s="363">
        <f t="shared" si="11"/>
        <v>6.5332874124633417E-3</v>
      </c>
    </row>
    <row r="338" spans="2:14" ht="14.25" thickTop="1" thickBot="1">
      <c r="B338" s="250">
        <v>41002</v>
      </c>
      <c r="C338" s="272" t="s">
        <v>940</v>
      </c>
      <c r="D338" s="413">
        <v>22</v>
      </c>
      <c r="E338" s="413">
        <v>99</v>
      </c>
      <c r="F338" s="413">
        <v>31</v>
      </c>
      <c r="G338" s="413">
        <v>25</v>
      </c>
      <c r="H338" s="413">
        <v>37</v>
      </c>
      <c r="I338" s="413">
        <v>45</v>
      </c>
      <c r="J338" s="413">
        <v>49</v>
      </c>
      <c r="K338" s="413">
        <v>76</v>
      </c>
      <c r="L338" s="413">
        <v>84</v>
      </c>
      <c r="M338" s="413">
        <f t="shared" si="10"/>
        <v>468</v>
      </c>
      <c r="N338" s="363">
        <f t="shared" si="11"/>
        <v>4.8843107173048624E-3</v>
      </c>
    </row>
    <row r="339" spans="2:14" ht="14.25" thickTop="1" thickBot="1">
      <c r="B339" s="250">
        <v>41003</v>
      </c>
      <c r="C339" s="272" t="s">
        <v>941</v>
      </c>
      <c r="D339" s="413">
        <v>142</v>
      </c>
      <c r="E339" s="413">
        <v>144</v>
      </c>
      <c r="F339" s="413">
        <v>156</v>
      </c>
      <c r="G339" s="413">
        <v>202</v>
      </c>
      <c r="H339" s="413">
        <v>172</v>
      </c>
      <c r="I339" s="413">
        <v>189</v>
      </c>
      <c r="J339" s="413">
        <v>232</v>
      </c>
      <c r="K339" s="413">
        <v>272</v>
      </c>
      <c r="L339" s="413">
        <v>281</v>
      </c>
      <c r="M339" s="413">
        <f t="shared" si="10"/>
        <v>1790</v>
      </c>
      <c r="N339" s="363">
        <f t="shared" si="11"/>
        <v>1.8681444837554923E-2</v>
      </c>
    </row>
    <row r="340" spans="2:14" ht="14.25" thickTop="1" thickBot="1">
      <c r="B340" s="250">
        <v>41004</v>
      </c>
      <c r="C340" s="272" t="s">
        <v>942</v>
      </c>
      <c r="D340" s="413" t="s">
        <v>156</v>
      </c>
      <c r="E340" s="413" t="s">
        <v>156</v>
      </c>
      <c r="F340" s="413" t="s">
        <v>156</v>
      </c>
      <c r="G340" s="413" t="s">
        <v>156</v>
      </c>
      <c r="H340" s="413">
        <v>1</v>
      </c>
      <c r="I340" s="413" t="s">
        <v>156</v>
      </c>
      <c r="J340" s="413" t="s">
        <v>156</v>
      </c>
      <c r="K340" s="413">
        <v>1</v>
      </c>
      <c r="L340" s="413">
        <v>1</v>
      </c>
      <c r="M340" s="413">
        <f t="shared" si="10"/>
        <v>3</v>
      </c>
      <c r="N340" s="363">
        <f t="shared" si="11"/>
        <v>3.1309684085287577E-5</v>
      </c>
    </row>
    <row r="341" spans="2:14" ht="14.25" thickTop="1" thickBot="1">
      <c r="B341" s="250">
        <v>41005</v>
      </c>
      <c r="C341" s="272" t="s">
        <v>943</v>
      </c>
      <c r="D341" s="413" t="s">
        <v>156</v>
      </c>
      <c r="E341" s="413" t="s">
        <v>156</v>
      </c>
      <c r="F341" s="413" t="s">
        <v>156</v>
      </c>
      <c r="G341" s="413" t="s">
        <v>156</v>
      </c>
      <c r="H341" s="413" t="s">
        <v>156</v>
      </c>
      <c r="I341" s="413" t="s">
        <v>156</v>
      </c>
      <c r="J341" s="413">
        <v>1</v>
      </c>
      <c r="K341" s="413">
        <v>2</v>
      </c>
      <c r="L341" s="413" t="s">
        <v>156</v>
      </c>
      <c r="M341" s="413">
        <f t="shared" si="10"/>
        <v>3</v>
      </c>
      <c r="N341" s="363">
        <f t="shared" si="11"/>
        <v>3.1309684085287577E-5</v>
      </c>
    </row>
    <row r="342" spans="2:14" ht="14.25" thickTop="1" thickBot="1">
      <c r="B342" s="250">
        <v>50101</v>
      </c>
      <c r="C342" s="272" t="s">
        <v>66</v>
      </c>
      <c r="D342" s="413">
        <v>80</v>
      </c>
      <c r="E342" s="413">
        <v>55</v>
      </c>
      <c r="F342" s="413">
        <v>218</v>
      </c>
      <c r="G342" s="413">
        <v>51</v>
      </c>
      <c r="H342" s="413">
        <v>48</v>
      </c>
      <c r="I342" s="413">
        <v>148</v>
      </c>
      <c r="J342" s="413">
        <v>157</v>
      </c>
      <c r="K342" s="413">
        <v>132</v>
      </c>
      <c r="L342" s="413">
        <v>312</v>
      </c>
      <c r="M342" s="413">
        <f t="shared" si="10"/>
        <v>1201</v>
      </c>
      <c r="N342" s="363">
        <f t="shared" si="11"/>
        <v>1.2534310195476794E-2</v>
      </c>
    </row>
    <row r="343" spans="2:14" ht="14.25" thickTop="1" thickBot="1">
      <c r="B343" s="250">
        <v>50102</v>
      </c>
      <c r="C343" s="272" t="s">
        <v>944</v>
      </c>
      <c r="D343" s="413">
        <v>7</v>
      </c>
      <c r="E343" s="413">
        <v>10</v>
      </c>
      <c r="F343" s="413">
        <v>3</v>
      </c>
      <c r="G343" s="413">
        <v>4</v>
      </c>
      <c r="H343" s="413">
        <v>4</v>
      </c>
      <c r="I343" s="413">
        <v>13</v>
      </c>
      <c r="J343" s="413">
        <v>9</v>
      </c>
      <c r="K343" s="413">
        <v>8</v>
      </c>
      <c r="L343" s="413">
        <v>2</v>
      </c>
      <c r="M343" s="413">
        <f t="shared" si="10"/>
        <v>60</v>
      </c>
      <c r="N343" s="363">
        <f t="shared" si="11"/>
        <v>6.2619368170575157E-4</v>
      </c>
    </row>
    <row r="344" spans="2:14" ht="14.25" thickTop="1" thickBot="1">
      <c r="B344" s="250">
        <v>50103</v>
      </c>
      <c r="C344" s="272" t="s">
        <v>945</v>
      </c>
      <c r="D344" s="413" t="s">
        <v>156</v>
      </c>
      <c r="E344" s="413">
        <v>1</v>
      </c>
      <c r="F344" s="413">
        <v>4</v>
      </c>
      <c r="G344" s="413">
        <v>3</v>
      </c>
      <c r="H344" s="413">
        <v>4</v>
      </c>
      <c r="I344" s="413">
        <v>6</v>
      </c>
      <c r="J344" s="413">
        <v>3</v>
      </c>
      <c r="K344" s="413">
        <v>1</v>
      </c>
      <c r="L344" s="413">
        <v>1</v>
      </c>
      <c r="M344" s="413">
        <f t="shared" si="10"/>
        <v>23</v>
      </c>
      <c r="N344" s="363">
        <f t="shared" si="11"/>
        <v>2.4004091132053812E-4</v>
      </c>
    </row>
    <row r="345" spans="2:14" ht="14.25" thickTop="1" thickBot="1">
      <c r="B345" s="250">
        <v>50104</v>
      </c>
      <c r="C345" s="272" t="s">
        <v>946</v>
      </c>
      <c r="D345" s="413">
        <v>6</v>
      </c>
      <c r="E345" s="413">
        <v>7</v>
      </c>
      <c r="F345" s="413">
        <v>4</v>
      </c>
      <c r="G345" s="413">
        <v>3</v>
      </c>
      <c r="H345" s="413">
        <v>2</v>
      </c>
      <c r="I345" s="413">
        <v>6</v>
      </c>
      <c r="J345" s="413">
        <v>6</v>
      </c>
      <c r="K345" s="413">
        <v>2</v>
      </c>
      <c r="L345" s="413">
        <v>4</v>
      </c>
      <c r="M345" s="413">
        <f t="shared" si="10"/>
        <v>40</v>
      </c>
      <c r="N345" s="363">
        <f t="shared" si="11"/>
        <v>4.1746245447050106E-4</v>
      </c>
    </row>
    <row r="346" spans="2:14" ht="14.25" thickTop="1" thickBot="1">
      <c r="B346" s="250">
        <v>50105</v>
      </c>
      <c r="C346" s="272" t="s">
        <v>947</v>
      </c>
      <c r="D346" s="413">
        <v>2</v>
      </c>
      <c r="E346" s="413">
        <v>5</v>
      </c>
      <c r="F346" s="413">
        <v>11</v>
      </c>
      <c r="G346" s="413">
        <v>5</v>
      </c>
      <c r="H346" s="413">
        <v>7</v>
      </c>
      <c r="I346" s="413">
        <v>17</v>
      </c>
      <c r="J346" s="413">
        <v>7</v>
      </c>
      <c r="K346" s="413">
        <v>5</v>
      </c>
      <c r="L346" s="413">
        <v>5</v>
      </c>
      <c r="M346" s="413">
        <f t="shared" si="10"/>
        <v>64</v>
      </c>
      <c r="N346" s="363">
        <f t="shared" si="11"/>
        <v>6.6793992715280168E-4</v>
      </c>
    </row>
    <row r="347" spans="2:14" ht="14.25" thickTop="1" thickBot="1">
      <c r="B347" s="250">
        <v>50201</v>
      </c>
      <c r="C347" s="272" t="s">
        <v>67</v>
      </c>
      <c r="D347" s="413">
        <v>113</v>
      </c>
      <c r="E347" s="413">
        <v>146</v>
      </c>
      <c r="F347" s="413">
        <v>83</v>
      </c>
      <c r="G347" s="413">
        <v>42</v>
      </c>
      <c r="H347" s="413">
        <v>59</v>
      </c>
      <c r="I347" s="413">
        <v>65</v>
      </c>
      <c r="J347" s="413">
        <v>51</v>
      </c>
      <c r="K347" s="413">
        <v>73</v>
      </c>
      <c r="L347" s="413">
        <v>79</v>
      </c>
      <c r="M347" s="413">
        <f t="shared" si="10"/>
        <v>711</v>
      </c>
      <c r="N347" s="363">
        <f t="shared" si="11"/>
        <v>7.420395128213156E-3</v>
      </c>
    </row>
    <row r="348" spans="2:14" ht="14.25" thickTop="1" thickBot="1">
      <c r="B348" s="250">
        <v>50202</v>
      </c>
      <c r="C348" s="272" t="s">
        <v>948</v>
      </c>
      <c r="D348" s="413">
        <v>55</v>
      </c>
      <c r="E348" s="413">
        <v>21</v>
      </c>
      <c r="F348" s="413">
        <v>56</v>
      </c>
      <c r="G348" s="413">
        <v>11</v>
      </c>
      <c r="H348" s="413">
        <v>27</v>
      </c>
      <c r="I348" s="413">
        <v>11</v>
      </c>
      <c r="J348" s="413">
        <v>13</v>
      </c>
      <c r="K348" s="413">
        <v>14</v>
      </c>
      <c r="L348" s="413">
        <v>10</v>
      </c>
      <c r="M348" s="413">
        <f t="shared" si="10"/>
        <v>218</v>
      </c>
      <c r="N348" s="363">
        <f t="shared" si="11"/>
        <v>2.2751703768642308E-3</v>
      </c>
    </row>
    <row r="349" spans="2:14" ht="14.25" thickTop="1" thickBot="1">
      <c r="B349" s="250">
        <v>50203</v>
      </c>
      <c r="C349" s="272" t="s">
        <v>726</v>
      </c>
      <c r="D349" s="413">
        <v>82</v>
      </c>
      <c r="E349" s="413">
        <v>32</v>
      </c>
      <c r="F349" s="413">
        <v>40</v>
      </c>
      <c r="G349" s="413">
        <v>33</v>
      </c>
      <c r="H349" s="413">
        <v>36</v>
      </c>
      <c r="I349" s="413">
        <v>59</v>
      </c>
      <c r="J349" s="413">
        <v>35</v>
      </c>
      <c r="K349" s="413">
        <v>34</v>
      </c>
      <c r="L349" s="413">
        <v>34</v>
      </c>
      <c r="M349" s="413">
        <f t="shared" si="10"/>
        <v>385</v>
      </c>
      <c r="N349" s="363">
        <f t="shared" si="11"/>
        <v>4.0180761242785724E-3</v>
      </c>
    </row>
    <row r="350" spans="2:14" ht="14.25" thickTop="1" thickBot="1">
      <c r="B350" s="250">
        <v>50204</v>
      </c>
      <c r="C350" s="272" t="s">
        <v>949</v>
      </c>
      <c r="D350" s="413">
        <v>35</v>
      </c>
      <c r="E350" s="413">
        <v>10</v>
      </c>
      <c r="F350" s="413">
        <v>12</v>
      </c>
      <c r="G350" s="413">
        <v>7</v>
      </c>
      <c r="H350" s="413">
        <v>8</v>
      </c>
      <c r="I350" s="413">
        <v>10</v>
      </c>
      <c r="J350" s="413">
        <v>12</v>
      </c>
      <c r="K350" s="413">
        <v>4</v>
      </c>
      <c r="L350" s="413">
        <v>13</v>
      </c>
      <c r="M350" s="413">
        <f t="shared" si="10"/>
        <v>111</v>
      </c>
      <c r="N350" s="363">
        <f t="shared" si="11"/>
        <v>1.1584583111556405E-3</v>
      </c>
    </row>
    <row r="351" spans="2:14" ht="14.25" thickTop="1" thickBot="1">
      <c r="B351" s="250">
        <v>50205</v>
      </c>
      <c r="C351" s="272" t="s">
        <v>950</v>
      </c>
      <c r="D351" s="413">
        <v>8</v>
      </c>
      <c r="E351" s="413">
        <v>9</v>
      </c>
      <c r="F351" s="413">
        <v>4</v>
      </c>
      <c r="G351" s="413">
        <v>6</v>
      </c>
      <c r="H351" s="413">
        <v>2</v>
      </c>
      <c r="I351" s="413">
        <v>9</v>
      </c>
      <c r="J351" s="413">
        <v>6</v>
      </c>
      <c r="K351" s="413">
        <v>6</v>
      </c>
      <c r="L351" s="413">
        <v>8</v>
      </c>
      <c r="M351" s="413">
        <f t="shared" si="10"/>
        <v>58</v>
      </c>
      <c r="N351" s="363">
        <f t="shared" si="11"/>
        <v>6.0532055898222651E-4</v>
      </c>
    </row>
    <row r="352" spans="2:14" ht="14.25" thickTop="1" thickBot="1">
      <c r="B352" s="250">
        <v>50206</v>
      </c>
      <c r="C352" s="272" t="s">
        <v>951</v>
      </c>
      <c r="D352" s="413">
        <v>19</v>
      </c>
      <c r="E352" s="413">
        <v>10</v>
      </c>
      <c r="F352" s="413">
        <v>21</v>
      </c>
      <c r="G352" s="413">
        <v>9</v>
      </c>
      <c r="H352" s="413">
        <v>10</v>
      </c>
      <c r="I352" s="413">
        <v>11</v>
      </c>
      <c r="J352" s="413">
        <v>13</v>
      </c>
      <c r="K352" s="413">
        <v>17</v>
      </c>
      <c r="L352" s="413">
        <v>17</v>
      </c>
      <c r="M352" s="413">
        <f t="shared" si="10"/>
        <v>127</v>
      </c>
      <c r="N352" s="363">
        <f t="shared" si="11"/>
        <v>1.3254432929438408E-3</v>
      </c>
    </row>
    <row r="353" spans="2:14" ht="14.25" thickTop="1" thickBot="1">
      <c r="B353" s="250">
        <v>50207</v>
      </c>
      <c r="C353" s="272" t="s">
        <v>952</v>
      </c>
      <c r="D353" s="413">
        <v>10</v>
      </c>
      <c r="E353" s="413">
        <v>17</v>
      </c>
      <c r="F353" s="413">
        <v>13</v>
      </c>
      <c r="G353" s="413">
        <v>14</v>
      </c>
      <c r="H353" s="413">
        <v>17</v>
      </c>
      <c r="I353" s="413">
        <v>18</v>
      </c>
      <c r="J353" s="413">
        <v>13</v>
      </c>
      <c r="K353" s="413">
        <v>14</v>
      </c>
      <c r="L353" s="413">
        <v>10</v>
      </c>
      <c r="M353" s="413">
        <f t="shared" si="10"/>
        <v>126</v>
      </c>
      <c r="N353" s="363">
        <f t="shared" si="11"/>
        <v>1.3150067315820784E-3</v>
      </c>
    </row>
    <row r="354" spans="2:14" ht="14.25" thickTop="1" thickBot="1">
      <c r="B354" s="250">
        <v>50301</v>
      </c>
      <c r="C354" s="272" t="s">
        <v>68</v>
      </c>
      <c r="D354" s="413">
        <v>57</v>
      </c>
      <c r="E354" s="413">
        <v>69</v>
      </c>
      <c r="F354" s="413">
        <v>59</v>
      </c>
      <c r="G354" s="413">
        <v>96</v>
      </c>
      <c r="H354" s="413">
        <v>156</v>
      </c>
      <c r="I354" s="413">
        <v>90</v>
      </c>
      <c r="J354" s="413">
        <v>66</v>
      </c>
      <c r="K354" s="413">
        <v>243</v>
      </c>
      <c r="L354" s="413">
        <v>53</v>
      </c>
      <c r="M354" s="413">
        <f t="shared" si="10"/>
        <v>889</v>
      </c>
      <c r="N354" s="363">
        <f t="shared" si="11"/>
        <v>9.2781030506068861E-3</v>
      </c>
    </row>
    <row r="355" spans="2:14" ht="14.25" thickTop="1" thickBot="1">
      <c r="B355" s="250">
        <v>50302</v>
      </c>
      <c r="C355" s="272" t="s">
        <v>953</v>
      </c>
      <c r="D355" s="413">
        <v>5</v>
      </c>
      <c r="E355" s="413">
        <v>11</v>
      </c>
      <c r="F355" s="413">
        <v>5</v>
      </c>
      <c r="G355" s="413">
        <v>6</v>
      </c>
      <c r="H355" s="413">
        <v>13</v>
      </c>
      <c r="I355" s="413">
        <v>10</v>
      </c>
      <c r="J355" s="413">
        <v>8</v>
      </c>
      <c r="K355" s="413">
        <v>14</v>
      </c>
      <c r="L355" s="413">
        <v>5</v>
      </c>
      <c r="M355" s="413">
        <f t="shared" si="10"/>
        <v>77</v>
      </c>
      <c r="N355" s="363">
        <f t="shared" si="11"/>
        <v>8.0361522485571449E-4</v>
      </c>
    </row>
    <row r="356" spans="2:14" ht="14.25" thickTop="1" thickBot="1">
      <c r="B356" s="250">
        <v>50303</v>
      </c>
      <c r="C356" s="272" t="s">
        <v>954</v>
      </c>
      <c r="D356" s="413">
        <v>18</v>
      </c>
      <c r="E356" s="413">
        <v>11</v>
      </c>
      <c r="F356" s="413">
        <v>9</v>
      </c>
      <c r="G356" s="413">
        <v>53</v>
      </c>
      <c r="H356" s="413">
        <v>25</v>
      </c>
      <c r="I356" s="413">
        <v>27</v>
      </c>
      <c r="J356" s="413">
        <v>58</v>
      </c>
      <c r="K356" s="413">
        <v>24</v>
      </c>
      <c r="L356" s="413">
        <v>25</v>
      </c>
      <c r="M356" s="413">
        <f t="shared" si="10"/>
        <v>250</v>
      </c>
      <c r="N356" s="363">
        <f t="shared" si="11"/>
        <v>2.6091403404406317E-3</v>
      </c>
    </row>
    <row r="357" spans="2:14" ht="14.25" thickTop="1" thickBot="1">
      <c r="B357" s="250">
        <v>50304</v>
      </c>
      <c r="C357" s="272" t="s">
        <v>955</v>
      </c>
      <c r="D357" s="413">
        <v>12</v>
      </c>
      <c r="E357" s="413">
        <v>7</v>
      </c>
      <c r="F357" s="413">
        <v>4</v>
      </c>
      <c r="G357" s="413">
        <v>9</v>
      </c>
      <c r="H357" s="413">
        <v>18</v>
      </c>
      <c r="I357" s="413">
        <v>26</v>
      </c>
      <c r="J357" s="413">
        <v>17</v>
      </c>
      <c r="K357" s="413">
        <v>20</v>
      </c>
      <c r="L357" s="413">
        <v>20</v>
      </c>
      <c r="M357" s="413">
        <f t="shared" si="10"/>
        <v>133</v>
      </c>
      <c r="N357" s="363">
        <f t="shared" si="11"/>
        <v>1.3880626611144161E-3</v>
      </c>
    </row>
    <row r="358" spans="2:14" ht="14.25" thickTop="1" thickBot="1">
      <c r="B358" s="250">
        <v>50305</v>
      </c>
      <c r="C358" s="272" t="s">
        <v>956</v>
      </c>
      <c r="D358" s="413">
        <v>12</v>
      </c>
      <c r="E358" s="413">
        <v>20</v>
      </c>
      <c r="F358" s="413">
        <v>15</v>
      </c>
      <c r="G358" s="413">
        <v>18</v>
      </c>
      <c r="H358" s="413">
        <v>12</v>
      </c>
      <c r="I358" s="413">
        <v>22</v>
      </c>
      <c r="J358" s="413">
        <v>34</v>
      </c>
      <c r="K358" s="413">
        <v>14</v>
      </c>
      <c r="L358" s="413">
        <v>16</v>
      </c>
      <c r="M358" s="413">
        <f t="shared" si="10"/>
        <v>163</v>
      </c>
      <c r="N358" s="363">
        <f t="shared" si="11"/>
        <v>1.7011595019672918E-3</v>
      </c>
    </row>
    <row r="359" spans="2:14" ht="14.25" thickTop="1" thickBot="1">
      <c r="B359" s="250">
        <v>50306</v>
      </c>
      <c r="C359" s="272" t="s">
        <v>957</v>
      </c>
      <c r="D359" s="413">
        <v>3</v>
      </c>
      <c r="E359" s="413">
        <v>1</v>
      </c>
      <c r="F359" s="413" t="s">
        <v>156</v>
      </c>
      <c r="G359" s="413">
        <v>2</v>
      </c>
      <c r="H359" s="413" t="s">
        <v>156</v>
      </c>
      <c r="I359" s="413" t="s">
        <v>156</v>
      </c>
      <c r="J359" s="413">
        <v>2</v>
      </c>
      <c r="K359" s="413">
        <v>3</v>
      </c>
      <c r="L359" s="413">
        <v>4</v>
      </c>
      <c r="M359" s="413">
        <f t="shared" si="10"/>
        <v>15</v>
      </c>
      <c r="N359" s="363">
        <f t="shared" si="11"/>
        <v>1.5654842042643789E-4</v>
      </c>
    </row>
    <row r="360" spans="2:14" ht="14.25" thickTop="1" thickBot="1">
      <c r="B360" s="250">
        <v>50307</v>
      </c>
      <c r="C360" s="272" t="s">
        <v>958</v>
      </c>
      <c r="D360" s="413">
        <v>56</v>
      </c>
      <c r="E360" s="413">
        <v>12</v>
      </c>
      <c r="F360" s="413">
        <v>7</v>
      </c>
      <c r="G360" s="413">
        <v>13</v>
      </c>
      <c r="H360" s="413">
        <v>13</v>
      </c>
      <c r="I360" s="413">
        <v>18</v>
      </c>
      <c r="J360" s="413">
        <v>51</v>
      </c>
      <c r="K360" s="413">
        <v>21</v>
      </c>
      <c r="L360" s="413">
        <v>15</v>
      </c>
      <c r="M360" s="413">
        <f t="shared" si="10"/>
        <v>206</v>
      </c>
      <c r="N360" s="363">
        <f t="shared" si="11"/>
        <v>2.1499316405230806E-3</v>
      </c>
    </row>
    <row r="361" spans="2:14" ht="14.25" thickTop="1" thickBot="1">
      <c r="B361" s="250">
        <v>50308</v>
      </c>
      <c r="C361" s="272" t="s">
        <v>959</v>
      </c>
      <c r="D361" s="413">
        <v>5</v>
      </c>
      <c r="E361" s="413">
        <v>1</v>
      </c>
      <c r="F361" s="413">
        <v>2</v>
      </c>
      <c r="G361" s="413">
        <v>4</v>
      </c>
      <c r="H361" s="413">
        <v>2</v>
      </c>
      <c r="I361" s="413">
        <v>3</v>
      </c>
      <c r="J361" s="413">
        <v>3</v>
      </c>
      <c r="K361" s="413">
        <v>5</v>
      </c>
      <c r="L361" s="413">
        <v>3</v>
      </c>
      <c r="M361" s="413">
        <f t="shared" si="10"/>
        <v>28</v>
      </c>
      <c r="N361" s="363">
        <f t="shared" si="11"/>
        <v>2.9222371812935073E-4</v>
      </c>
    </row>
    <row r="362" spans="2:14" ht="14.25" thickTop="1" thickBot="1">
      <c r="B362" s="250">
        <v>50309</v>
      </c>
      <c r="C362" s="272" t="s">
        <v>960</v>
      </c>
      <c r="D362" s="413">
        <v>13</v>
      </c>
      <c r="E362" s="413">
        <v>7</v>
      </c>
      <c r="F362" s="413">
        <v>7</v>
      </c>
      <c r="G362" s="413">
        <v>11</v>
      </c>
      <c r="H362" s="413">
        <v>11</v>
      </c>
      <c r="I362" s="413">
        <v>17</v>
      </c>
      <c r="J362" s="413">
        <v>21</v>
      </c>
      <c r="K362" s="413">
        <v>14</v>
      </c>
      <c r="L362" s="413">
        <v>27</v>
      </c>
      <c r="M362" s="413">
        <f t="shared" si="10"/>
        <v>128</v>
      </c>
      <c r="N362" s="363">
        <f t="shared" si="11"/>
        <v>1.3358798543056034E-3</v>
      </c>
    </row>
    <row r="363" spans="2:14" ht="14.25" thickTop="1" thickBot="1">
      <c r="B363" s="250">
        <v>50401</v>
      </c>
      <c r="C363" s="272" t="s">
        <v>69</v>
      </c>
      <c r="D363" s="413">
        <v>34</v>
      </c>
      <c r="E363" s="413">
        <v>40</v>
      </c>
      <c r="F363" s="413">
        <v>24</v>
      </c>
      <c r="G363" s="413">
        <v>21</v>
      </c>
      <c r="H363" s="413">
        <v>196</v>
      </c>
      <c r="I363" s="413">
        <v>60</v>
      </c>
      <c r="J363" s="413">
        <v>65</v>
      </c>
      <c r="K363" s="413">
        <v>35</v>
      </c>
      <c r="L363" s="413">
        <v>40</v>
      </c>
      <c r="M363" s="413">
        <f t="shared" si="10"/>
        <v>515</v>
      </c>
      <c r="N363" s="363">
        <f t="shared" si="11"/>
        <v>5.3748291013077012E-3</v>
      </c>
    </row>
    <row r="364" spans="2:14" ht="14.25" thickTop="1" thickBot="1">
      <c r="B364" s="250">
        <v>50402</v>
      </c>
      <c r="C364" s="272" t="s">
        <v>860</v>
      </c>
      <c r="D364" s="413">
        <v>10</v>
      </c>
      <c r="E364" s="413">
        <v>6</v>
      </c>
      <c r="F364" s="413">
        <v>2</v>
      </c>
      <c r="G364" s="413">
        <v>5</v>
      </c>
      <c r="H364" s="413">
        <v>13</v>
      </c>
      <c r="I364" s="413">
        <v>9</v>
      </c>
      <c r="J364" s="413">
        <v>12</v>
      </c>
      <c r="K364" s="413">
        <v>6</v>
      </c>
      <c r="L364" s="413">
        <v>5</v>
      </c>
      <c r="M364" s="413">
        <f t="shared" si="10"/>
        <v>68</v>
      </c>
      <c r="N364" s="363">
        <f t="shared" si="11"/>
        <v>7.0968617259985179E-4</v>
      </c>
    </row>
    <row r="365" spans="2:14" ht="14.25" thickTop="1" thickBot="1">
      <c r="B365" s="250">
        <v>50403</v>
      </c>
      <c r="C365" s="272" t="s">
        <v>961</v>
      </c>
      <c r="D365" s="413">
        <v>8</v>
      </c>
      <c r="E365" s="413">
        <v>15</v>
      </c>
      <c r="F365" s="413">
        <v>7</v>
      </c>
      <c r="G365" s="413">
        <v>6</v>
      </c>
      <c r="H365" s="413">
        <v>11</v>
      </c>
      <c r="I365" s="413">
        <v>14</v>
      </c>
      <c r="J365" s="413">
        <v>13</v>
      </c>
      <c r="K365" s="413">
        <v>16</v>
      </c>
      <c r="L365" s="413">
        <v>11</v>
      </c>
      <c r="M365" s="413">
        <f t="shared" si="10"/>
        <v>101</v>
      </c>
      <c r="N365" s="363">
        <f t="shared" si="11"/>
        <v>1.0540926975380152E-3</v>
      </c>
    </row>
    <row r="366" spans="2:14" ht="14.25" thickTop="1" thickBot="1">
      <c r="B366" s="250">
        <v>50404</v>
      </c>
      <c r="C366" s="272" t="s">
        <v>962</v>
      </c>
      <c r="D366" s="413">
        <v>5</v>
      </c>
      <c r="E366" s="413">
        <v>11</v>
      </c>
      <c r="F366" s="413">
        <v>8</v>
      </c>
      <c r="G366" s="413" t="s">
        <v>156</v>
      </c>
      <c r="H366" s="413">
        <v>1</v>
      </c>
      <c r="I366" s="413">
        <v>5</v>
      </c>
      <c r="J366" s="413">
        <v>3</v>
      </c>
      <c r="K366" s="413" t="s">
        <v>156</v>
      </c>
      <c r="L366" s="413">
        <v>2</v>
      </c>
      <c r="M366" s="413">
        <f t="shared" si="10"/>
        <v>35</v>
      </c>
      <c r="N366" s="363">
        <f t="shared" si="11"/>
        <v>3.6527964766168842E-4</v>
      </c>
    </row>
    <row r="367" spans="2:14" ht="14.25" thickTop="1" thickBot="1">
      <c r="B367" s="250">
        <v>50501</v>
      </c>
      <c r="C367" s="272" t="s">
        <v>963</v>
      </c>
      <c r="D367" s="413">
        <v>10</v>
      </c>
      <c r="E367" s="413">
        <v>11</v>
      </c>
      <c r="F367" s="413">
        <v>17</v>
      </c>
      <c r="G367" s="413">
        <v>2</v>
      </c>
      <c r="H367" s="413">
        <v>35</v>
      </c>
      <c r="I367" s="413">
        <v>28</v>
      </c>
      <c r="J367" s="413">
        <v>29</v>
      </c>
      <c r="K367" s="413">
        <v>18</v>
      </c>
      <c r="L367" s="413">
        <v>12</v>
      </c>
      <c r="M367" s="413">
        <f t="shared" si="10"/>
        <v>162</v>
      </c>
      <c r="N367" s="363">
        <f t="shared" si="11"/>
        <v>1.6907229406055292E-3</v>
      </c>
    </row>
    <row r="368" spans="2:14" ht="14.25" thickTop="1" thickBot="1">
      <c r="B368" s="250">
        <v>50502</v>
      </c>
      <c r="C368" s="272" t="s">
        <v>869</v>
      </c>
      <c r="D368" s="413">
        <v>9</v>
      </c>
      <c r="E368" s="413">
        <v>13</v>
      </c>
      <c r="F368" s="413">
        <v>9</v>
      </c>
      <c r="G368" s="413">
        <v>4</v>
      </c>
      <c r="H368" s="413">
        <v>12</v>
      </c>
      <c r="I368" s="413">
        <v>9</v>
      </c>
      <c r="J368" s="413">
        <v>21</v>
      </c>
      <c r="K368" s="413">
        <v>9</v>
      </c>
      <c r="L368" s="413">
        <v>10</v>
      </c>
      <c r="M368" s="413">
        <f t="shared" si="10"/>
        <v>96</v>
      </c>
      <c r="N368" s="363">
        <f t="shared" si="11"/>
        <v>1.0019098907292025E-3</v>
      </c>
    </row>
    <row r="369" spans="2:14" ht="14.25" thickTop="1" thickBot="1">
      <c r="B369" s="250">
        <v>50503</v>
      </c>
      <c r="C369" s="272" t="s">
        <v>964</v>
      </c>
      <c r="D369" s="413">
        <v>16</v>
      </c>
      <c r="E369" s="413">
        <v>10</v>
      </c>
      <c r="F369" s="413">
        <v>17</v>
      </c>
      <c r="G369" s="413">
        <v>21</v>
      </c>
      <c r="H369" s="413">
        <v>23</v>
      </c>
      <c r="I369" s="413">
        <v>29</v>
      </c>
      <c r="J369" s="413">
        <v>52</v>
      </c>
      <c r="K369" s="413">
        <v>40</v>
      </c>
      <c r="L369" s="413">
        <v>34</v>
      </c>
      <c r="M369" s="413">
        <f t="shared" si="10"/>
        <v>242</v>
      </c>
      <c r="N369" s="363">
        <f t="shared" si="11"/>
        <v>2.5256478495465314E-3</v>
      </c>
    </row>
    <row r="370" spans="2:14" ht="14.25" thickTop="1" thickBot="1">
      <c r="B370" s="250">
        <v>50504</v>
      </c>
      <c r="C370" s="272" t="s">
        <v>36</v>
      </c>
      <c r="D370" s="413">
        <v>28</v>
      </c>
      <c r="E370" s="413">
        <v>28</v>
      </c>
      <c r="F370" s="413">
        <v>21</v>
      </c>
      <c r="G370" s="413">
        <v>26</v>
      </c>
      <c r="H370" s="413">
        <v>46</v>
      </c>
      <c r="I370" s="413">
        <v>32</v>
      </c>
      <c r="J370" s="413">
        <v>41</v>
      </c>
      <c r="K370" s="413">
        <v>47</v>
      </c>
      <c r="L370" s="413">
        <v>30</v>
      </c>
      <c r="M370" s="413">
        <f t="shared" si="10"/>
        <v>299</v>
      </c>
      <c r="N370" s="363">
        <f t="shared" si="11"/>
        <v>3.1205318471669956E-3</v>
      </c>
    </row>
    <row r="371" spans="2:14" ht="14.25" thickTop="1" thickBot="1">
      <c r="B371" s="250">
        <v>50601</v>
      </c>
      <c r="C371" s="272" t="s">
        <v>71</v>
      </c>
      <c r="D371" s="413">
        <v>93</v>
      </c>
      <c r="E371" s="413">
        <v>103</v>
      </c>
      <c r="F371" s="413">
        <v>28</v>
      </c>
      <c r="G371" s="413">
        <v>18</v>
      </c>
      <c r="H371" s="413">
        <v>16</v>
      </c>
      <c r="I371" s="413">
        <v>30</v>
      </c>
      <c r="J371" s="413">
        <v>36</v>
      </c>
      <c r="K371" s="413">
        <v>28</v>
      </c>
      <c r="L371" s="413">
        <v>24</v>
      </c>
      <c r="M371" s="413">
        <f t="shared" si="10"/>
        <v>376</v>
      </c>
      <c r="N371" s="363">
        <f t="shared" si="11"/>
        <v>3.9241470720227101E-3</v>
      </c>
    </row>
    <row r="372" spans="2:14" ht="14.25" thickTop="1" thickBot="1">
      <c r="B372" s="250">
        <v>50602</v>
      </c>
      <c r="C372" s="272" t="s">
        <v>869</v>
      </c>
      <c r="D372" s="413">
        <v>10</v>
      </c>
      <c r="E372" s="413">
        <v>3</v>
      </c>
      <c r="F372" s="413">
        <v>5</v>
      </c>
      <c r="G372" s="413">
        <v>5</v>
      </c>
      <c r="H372" s="413">
        <v>4</v>
      </c>
      <c r="I372" s="413">
        <v>3</v>
      </c>
      <c r="J372" s="413">
        <v>4</v>
      </c>
      <c r="K372" s="413">
        <v>7</v>
      </c>
      <c r="L372" s="413">
        <v>8</v>
      </c>
      <c r="M372" s="413">
        <f t="shared" si="10"/>
        <v>49</v>
      </c>
      <c r="N372" s="363">
        <f t="shared" si="11"/>
        <v>5.1139150672636381E-4</v>
      </c>
    </row>
    <row r="373" spans="2:14" ht="14.25" thickTop="1" thickBot="1">
      <c r="B373" s="250">
        <v>50603</v>
      </c>
      <c r="C373" s="272" t="s">
        <v>727</v>
      </c>
      <c r="D373" s="413">
        <v>14</v>
      </c>
      <c r="E373" s="413">
        <v>23</v>
      </c>
      <c r="F373" s="413">
        <v>13</v>
      </c>
      <c r="G373" s="413">
        <v>7</v>
      </c>
      <c r="H373" s="413">
        <v>5</v>
      </c>
      <c r="I373" s="413">
        <v>16</v>
      </c>
      <c r="J373" s="413">
        <v>14</v>
      </c>
      <c r="K373" s="413">
        <v>7</v>
      </c>
      <c r="L373" s="413">
        <v>10</v>
      </c>
      <c r="M373" s="413">
        <f t="shared" si="10"/>
        <v>109</v>
      </c>
      <c r="N373" s="363">
        <f t="shared" si="11"/>
        <v>1.1375851884321154E-3</v>
      </c>
    </row>
    <row r="374" spans="2:14" ht="14.25" thickTop="1" thickBot="1">
      <c r="B374" s="250">
        <v>50604</v>
      </c>
      <c r="C374" s="272" t="s">
        <v>965</v>
      </c>
      <c r="D374" s="413">
        <v>6</v>
      </c>
      <c r="E374" s="413">
        <v>6</v>
      </c>
      <c r="F374" s="413">
        <v>4</v>
      </c>
      <c r="G374" s="413">
        <v>3</v>
      </c>
      <c r="H374" s="413">
        <v>1</v>
      </c>
      <c r="I374" s="413">
        <v>2</v>
      </c>
      <c r="J374" s="413">
        <v>2</v>
      </c>
      <c r="K374" s="413" t="s">
        <v>156</v>
      </c>
      <c r="L374" s="413">
        <v>5</v>
      </c>
      <c r="M374" s="413">
        <f t="shared" si="10"/>
        <v>29</v>
      </c>
      <c r="N374" s="363">
        <f t="shared" si="11"/>
        <v>3.0266027949111326E-4</v>
      </c>
    </row>
    <row r="375" spans="2:14" ht="14.25" thickTop="1" thickBot="1">
      <c r="B375" s="250">
        <v>50605</v>
      </c>
      <c r="C375" s="272" t="s">
        <v>966</v>
      </c>
      <c r="D375" s="413">
        <v>1</v>
      </c>
      <c r="E375" s="413" t="s">
        <v>156</v>
      </c>
      <c r="F375" s="413">
        <v>1</v>
      </c>
      <c r="G375" s="413">
        <v>1</v>
      </c>
      <c r="H375" s="413">
        <v>1</v>
      </c>
      <c r="I375" s="413">
        <v>2</v>
      </c>
      <c r="J375" s="413">
        <v>1</v>
      </c>
      <c r="K375" s="413">
        <v>1</v>
      </c>
      <c r="L375" s="413">
        <v>1</v>
      </c>
      <c r="M375" s="413">
        <f t="shared" si="10"/>
        <v>9</v>
      </c>
      <c r="N375" s="363">
        <f t="shared" si="11"/>
        <v>9.3929052255862738E-5</v>
      </c>
    </row>
    <row r="376" spans="2:14" ht="14.25" thickTop="1" thickBot="1">
      <c r="B376" s="250">
        <v>50701</v>
      </c>
      <c r="C376" s="272" t="s">
        <v>967</v>
      </c>
      <c r="D376" s="413">
        <v>26</v>
      </c>
      <c r="E376" s="413">
        <v>36</v>
      </c>
      <c r="F376" s="413">
        <v>19</v>
      </c>
      <c r="G376" s="413">
        <v>20</v>
      </c>
      <c r="H376" s="413">
        <v>42</v>
      </c>
      <c r="I376" s="413">
        <v>32</v>
      </c>
      <c r="J376" s="413">
        <v>34</v>
      </c>
      <c r="K376" s="413">
        <v>25</v>
      </c>
      <c r="L376" s="413">
        <v>23</v>
      </c>
      <c r="M376" s="413">
        <f t="shared" si="10"/>
        <v>257</v>
      </c>
      <c r="N376" s="363">
        <f t="shared" si="11"/>
        <v>2.6821962699729693E-3</v>
      </c>
    </row>
    <row r="377" spans="2:14" ht="14.25" thickTop="1" thickBot="1">
      <c r="B377" s="250">
        <v>50702</v>
      </c>
      <c r="C377" s="272" t="s">
        <v>968</v>
      </c>
      <c r="D377" s="413">
        <v>10</v>
      </c>
      <c r="E377" s="413">
        <v>5</v>
      </c>
      <c r="F377" s="413">
        <v>6</v>
      </c>
      <c r="G377" s="413">
        <v>8</v>
      </c>
      <c r="H377" s="413">
        <v>12</v>
      </c>
      <c r="I377" s="413">
        <v>10</v>
      </c>
      <c r="J377" s="413">
        <v>16</v>
      </c>
      <c r="K377" s="413">
        <v>11</v>
      </c>
      <c r="L377" s="413">
        <v>8</v>
      </c>
      <c r="M377" s="413">
        <f t="shared" si="10"/>
        <v>86</v>
      </c>
      <c r="N377" s="363">
        <f t="shared" si="11"/>
        <v>8.9754427711157729E-4</v>
      </c>
    </row>
    <row r="378" spans="2:14" ht="14.25" thickTop="1" thickBot="1">
      <c r="B378" s="250">
        <v>50703</v>
      </c>
      <c r="C378" s="272" t="s">
        <v>782</v>
      </c>
      <c r="D378" s="413">
        <v>9</v>
      </c>
      <c r="E378" s="413">
        <v>3</v>
      </c>
      <c r="F378" s="413">
        <v>5</v>
      </c>
      <c r="G378" s="413">
        <v>15</v>
      </c>
      <c r="H378" s="413">
        <v>4</v>
      </c>
      <c r="I378" s="413">
        <v>6</v>
      </c>
      <c r="J378" s="413">
        <v>5</v>
      </c>
      <c r="K378" s="413">
        <v>9</v>
      </c>
      <c r="L378" s="413">
        <v>8</v>
      </c>
      <c r="M378" s="413">
        <f t="shared" si="10"/>
        <v>64</v>
      </c>
      <c r="N378" s="363">
        <f t="shared" si="11"/>
        <v>6.6793992715280168E-4</v>
      </c>
    </row>
    <row r="379" spans="2:14" ht="14.25" thickTop="1" thickBot="1">
      <c r="B379" s="250">
        <v>50704</v>
      </c>
      <c r="C379" s="272" t="s">
        <v>969</v>
      </c>
      <c r="D379" s="413">
        <v>34</v>
      </c>
      <c r="E379" s="413">
        <v>51</v>
      </c>
      <c r="F379" s="413">
        <v>34</v>
      </c>
      <c r="G379" s="413">
        <v>63</v>
      </c>
      <c r="H379" s="413">
        <v>26</v>
      </c>
      <c r="I379" s="413">
        <v>19</v>
      </c>
      <c r="J379" s="413">
        <v>19</v>
      </c>
      <c r="K379" s="413">
        <v>15</v>
      </c>
      <c r="L379" s="413">
        <v>8</v>
      </c>
      <c r="M379" s="413">
        <f t="shared" si="10"/>
        <v>269</v>
      </c>
      <c r="N379" s="363">
        <f t="shared" si="11"/>
        <v>2.8074350063141194E-3</v>
      </c>
    </row>
    <row r="380" spans="2:14" ht="14.25" thickTop="1" thickBot="1">
      <c r="B380" s="250">
        <v>50801</v>
      </c>
      <c r="C380" s="272" t="s">
        <v>73</v>
      </c>
      <c r="D380" s="413">
        <v>11</v>
      </c>
      <c r="E380" s="413">
        <v>11</v>
      </c>
      <c r="F380" s="413">
        <v>11</v>
      </c>
      <c r="G380" s="413">
        <v>18</v>
      </c>
      <c r="H380" s="413">
        <v>19</v>
      </c>
      <c r="I380" s="413">
        <v>21</v>
      </c>
      <c r="J380" s="413">
        <v>25</v>
      </c>
      <c r="K380" s="413">
        <v>172</v>
      </c>
      <c r="L380" s="413">
        <v>20</v>
      </c>
      <c r="M380" s="413">
        <f t="shared" si="10"/>
        <v>308</v>
      </c>
      <c r="N380" s="363">
        <f t="shared" si="11"/>
        <v>3.214460899422858E-3</v>
      </c>
    </row>
    <row r="381" spans="2:14" ht="14.25" thickTop="1" thickBot="1">
      <c r="B381" s="250">
        <v>50802</v>
      </c>
      <c r="C381" s="272" t="s">
        <v>970</v>
      </c>
      <c r="D381" s="413">
        <v>3</v>
      </c>
      <c r="E381" s="413">
        <v>14</v>
      </c>
      <c r="F381" s="413">
        <v>4</v>
      </c>
      <c r="G381" s="413">
        <v>5</v>
      </c>
      <c r="H381" s="413">
        <v>20</v>
      </c>
      <c r="I381" s="413">
        <v>15</v>
      </c>
      <c r="J381" s="413">
        <v>4</v>
      </c>
      <c r="K381" s="413">
        <v>7</v>
      </c>
      <c r="L381" s="413">
        <v>6</v>
      </c>
      <c r="M381" s="413">
        <f t="shared" si="10"/>
        <v>78</v>
      </c>
      <c r="N381" s="363">
        <f t="shared" si="11"/>
        <v>8.1405178621747707E-4</v>
      </c>
    </row>
    <row r="382" spans="2:14" ht="14.25" thickTop="1" thickBot="1">
      <c r="B382" s="250">
        <v>50803</v>
      </c>
      <c r="C382" s="272" t="s">
        <v>971</v>
      </c>
      <c r="D382" s="413">
        <v>2</v>
      </c>
      <c r="E382" s="413">
        <v>1</v>
      </c>
      <c r="F382" s="413">
        <v>7</v>
      </c>
      <c r="G382" s="413">
        <v>6</v>
      </c>
      <c r="H382" s="413">
        <v>2</v>
      </c>
      <c r="I382" s="413">
        <v>7</v>
      </c>
      <c r="J382" s="413">
        <v>9</v>
      </c>
      <c r="K382" s="413">
        <v>5</v>
      </c>
      <c r="L382" s="413">
        <v>8</v>
      </c>
      <c r="M382" s="413">
        <f t="shared" si="10"/>
        <v>47</v>
      </c>
      <c r="N382" s="363">
        <f t="shared" si="11"/>
        <v>4.9051838400283876E-4</v>
      </c>
    </row>
    <row r="383" spans="2:14" ht="14.25" thickTop="1" thickBot="1">
      <c r="B383" s="250">
        <v>50804</v>
      </c>
      <c r="C383" s="272" t="s">
        <v>911</v>
      </c>
      <c r="D383" s="413">
        <v>6</v>
      </c>
      <c r="E383" s="413">
        <v>6</v>
      </c>
      <c r="F383" s="413">
        <v>4</v>
      </c>
      <c r="G383" s="413">
        <v>11</v>
      </c>
      <c r="H383" s="413">
        <v>1</v>
      </c>
      <c r="I383" s="413">
        <v>5</v>
      </c>
      <c r="J383" s="413">
        <v>15</v>
      </c>
      <c r="K383" s="413">
        <v>4</v>
      </c>
      <c r="L383" s="413">
        <v>12</v>
      </c>
      <c r="M383" s="413">
        <f t="shared" si="10"/>
        <v>64</v>
      </c>
      <c r="N383" s="363">
        <f t="shared" si="11"/>
        <v>6.6793992715280168E-4</v>
      </c>
    </row>
    <row r="384" spans="2:14" ht="14.25" thickTop="1" thickBot="1">
      <c r="B384" s="250">
        <v>50805</v>
      </c>
      <c r="C384" s="272" t="s">
        <v>972</v>
      </c>
      <c r="D384" s="413">
        <v>2</v>
      </c>
      <c r="E384" s="413">
        <v>1</v>
      </c>
      <c r="F384" s="413">
        <v>1</v>
      </c>
      <c r="G384" s="413">
        <v>5</v>
      </c>
      <c r="H384" s="413">
        <v>1</v>
      </c>
      <c r="I384" s="413" t="s">
        <v>156</v>
      </c>
      <c r="J384" s="413">
        <v>4</v>
      </c>
      <c r="K384" s="413">
        <v>4</v>
      </c>
      <c r="L384" s="413">
        <v>3</v>
      </c>
      <c r="M384" s="413">
        <f t="shared" si="10"/>
        <v>21</v>
      </c>
      <c r="N384" s="363">
        <f t="shared" si="11"/>
        <v>2.1916778859701306E-4</v>
      </c>
    </row>
    <row r="385" spans="2:14" ht="14.25" thickTop="1" thickBot="1">
      <c r="B385" s="250">
        <v>50806</v>
      </c>
      <c r="C385" s="272" t="s">
        <v>973</v>
      </c>
      <c r="D385" s="413">
        <v>6</v>
      </c>
      <c r="E385" s="413">
        <v>1</v>
      </c>
      <c r="F385" s="413">
        <v>3</v>
      </c>
      <c r="G385" s="413">
        <v>5</v>
      </c>
      <c r="H385" s="413" t="s">
        <v>156</v>
      </c>
      <c r="I385" s="413">
        <v>3</v>
      </c>
      <c r="J385" s="413">
        <v>5</v>
      </c>
      <c r="K385" s="413">
        <v>12</v>
      </c>
      <c r="L385" s="413">
        <v>5</v>
      </c>
      <c r="M385" s="413">
        <f t="shared" si="10"/>
        <v>40</v>
      </c>
      <c r="N385" s="363">
        <f t="shared" si="11"/>
        <v>4.1746245447050106E-4</v>
      </c>
    </row>
    <row r="386" spans="2:14" ht="14.25" thickTop="1" thickBot="1">
      <c r="B386" s="250">
        <v>50807</v>
      </c>
      <c r="C386" s="272" t="s">
        <v>974</v>
      </c>
      <c r="D386" s="413">
        <v>6</v>
      </c>
      <c r="E386" s="413">
        <v>3</v>
      </c>
      <c r="F386" s="413">
        <v>3</v>
      </c>
      <c r="G386" s="413">
        <v>6</v>
      </c>
      <c r="H386" s="413">
        <v>4</v>
      </c>
      <c r="I386" s="413">
        <v>1</v>
      </c>
      <c r="J386" s="413">
        <v>9</v>
      </c>
      <c r="K386" s="413">
        <v>7</v>
      </c>
      <c r="L386" s="413">
        <v>3</v>
      </c>
      <c r="M386" s="413">
        <f t="shared" si="10"/>
        <v>42</v>
      </c>
      <c r="N386" s="363">
        <f t="shared" si="11"/>
        <v>4.3833557719402612E-4</v>
      </c>
    </row>
    <row r="387" spans="2:14" ht="14.25" thickTop="1" thickBot="1">
      <c r="B387" s="250">
        <v>50901</v>
      </c>
      <c r="C387" s="272" t="s">
        <v>975</v>
      </c>
      <c r="D387" s="413">
        <v>8</v>
      </c>
      <c r="E387" s="413">
        <v>5</v>
      </c>
      <c r="F387" s="413">
        <v>1</v>
      </c>
      <c r="G387" s="413">
        <v>7</v>
      </c>
      <c r="H387" s="413">
        <v>5</v>
      </c>
      <c r="I387" s="413">
        <v>8</v>
      </c>
      <c r="J387" s="413">
        <v>6</v>
      </c>
      <c r="K387" s="413">
        <v>4</v>
      </c>
      <c r="L387" s="413">
        <v>4</v>
      </c>
      <c r="M387" s="413">
        <f t="shared" si="10"/>
        <v>48</v>
      </c>
      <c r="N387" s="363">
        <f t="shared" si="11"/>
        <v>5.0095494536460123E-4</v>
      </c>
    </row>
    <row r="388" spans="2:14" ht="14.25" thickTop="1" thickBot="1">
      <c r="B388" s="250">
        <v>50902</v>
      </c>
      <c r="C388" s="272" t="s">
        <v>976</v>
      </c>
      <c r="D388" s="413">
        <v>10</v>
      </c>
      <c r="E388" s="413">
        <v>9</v>
      </c>
      <c r="F388" s="413">
        <v>19</v>
      </c>
      <c r="G388" s="413">
        <v>1</v>
      </c>
      <c r="H388" s="413">
        <v>4</v>
      </c>
      <c r="I388" s="413">
        <v>6</v>
      </c>
      <c r="J388" s="413">
        <v>15</v>
      </c>
      <c r="K388" s="413">
        <v>10</v>
      </c>
      <c r="L388" s="413">
        <v>10</v>
      </c>
      <c r="M388" s="413">
        <f t="shared" si="10"/>
        <v>84</v>
      </c>
      <c r="N388" s="363">
        <f t="shared" si="11"/>
        <v>8.7667115438805224E-4</v>
      </c>
    </row>
    <row r="389" spans="2:14" ht="14.25" thickTop="1" thickBot="1">
      <c r="B389" s="250">
        <v>50903</v>
      </c>
      <c r="C389" s="272" t="s">
        <v>827</v>
      </c>
      <c r="D389" s="413">
        <v>1</v>
      </c>
      <c r="E389" s="413">
        <v>2</v>
      </c>
      <c r="F389" s="413">
        <v>6</v>
      </c>
      <c r="G389" s="413">
        <v>4</v>
      </c>
      <c r="H389" s="413">
        <v>4</v>
      </c>
      <c r="I389" s="413">
        <v>3</v>
      </c>
      <c r="J389" s="413">
        <v>5</v>
      </c>
      <c r="K389" s="413">
        <v>4</v>
      </c>
      <c r="L389" s="413">
        <v>8</v>
      </c>
      <c r="M389" s="413">
        <f t="shared" si="10"/>
        <v>37</v>
      </c>
      <c r="N389" s="363">
        <f t="shared" si="11"/>
        <v>3.8615277038521348E-4</v>
      </c>
    </row>
    <row r="390" spans="2:14" ht="14.25" thickTop="1" thickBot="1">
      <c r="B390" s="250">
        <v>50904</v>
      </c>
      <c r="C390" s="272" t="s">
        <v>64</v>
      </c>
      <c r="D390" s="413">
        <v>18</v>
      </c>
      <c r="E390" s="413">
        <v>12</v>
      </c>
      <c r="F390" s="413">
        <v>6</v>
      </c>
      <c r="G390" s="413">
        <v>6</v>
      </c>
      <c r="H390" s="413">
        <v>7</v>
      </c>
      <c r="I390" s="413">
        <v>9</v>
      </c>
      <c r="J390" s="413">
        <v>6</v>
      </c>
      <c r="K390" s="413">
        <v>3</v>
      </c>
      <c r="L390" s="413">
        <v>44</v>
      </c>
      <c r="M390" s="413">
        <f t="shared" ref="M390:M453" si="12">SUM(D390:L390)</f>
        <v>111</v>
      </c>
      <c r="N390" s="363">
        <f t="shared" si="11"/>
        <v>1.1584583111556405E-3</v>
      </c>
    </row>
    <row r="391" spans="2:14" ht="14.25" thickTop="1" thickBot="1">
      <c r="B391" s="250">
        <v>50905</v>
      </c>
      <c r="C391" s="272" t="s">
        <v>977</v>
      </c>
      <c r="D391" s="413">
        <v>7</v>
      </c>
      <c r="E391" s="413">
        <v>3</v>
      </c>
      <c r="F391" s="413">
        <v>3</v>
      </c>
      <c r="G391" s="413">
        <v>2</v>
      </c>
      <c r="H391" s="413">
        <v>2</v>
      </c>
      <c r="I391" s="413" t="s">
        <v>156</v>
      </c>
      <c r="J391" s="413">
        <v>5</v>
      </c>
      <c r="K391" s="413">
        <v>3</v>
      </c>
      <c r="L391" s="413">
        <v>3</v>
      </c>
      <c r="M391" s="413">
        <f t="shared" si="12"/>
        <v>28</v>
      </c>
      <c r="N391" s="363">
        <f t="shared" ref="N391:N454" si="13">+M391/$M$491</f>
        <v>2.9222371812935073E-4</v>
      </c>
    </row>
    <row r="392" spans="2:14" ht="14.25" thickTop="1" thickBot="1">
      <c r="B392" s="250">
        <v>50906</v>
      </c>
      <c r="C392" s="272" t="s">
        <v>978</v>
      </c>
      <c r="D392" s="413">
        <v>6</v>
      </c>
      <c r="E392" s="413">
        <v>10</v>
      </c>
      <c r="F392" s="413">
        <v>8</v>
      </c>
      <c r="G392" s="413">
        <v>6</v>
      </c>
      <c r="H392" s="413">
        <v>10</v>
      </c>
      <c r="I392" s="413">
        <v>16</v>
      </c>
      <c r="J392" s="413">
        <v>12</v>
      </c>
      <c r="K392" s="413">
        <v>7</v>
      </c>
      <c r="L392" s="413">
        <v>15</v>
      </c>
      <c r="M392" s="413">
        <f t="shared" si="12"/>
        <v>90</v>
      </c>
      <c r="N392" s="363">
        <f t="shared" si="13"/>
        <v>9.3929052255862741E-4</v>
      </c>
    </row>
    <row r="393" spans="2:14" ht="14.25" thickTop="1" thickBot="1">
      <c r="B393" s="250">
        <v>51001</v>
      </c>
      <c r="C393" s="272" t="s">
        <v>75</v>
      </c>
      <c r="D393" s="413">
        <v>20</v>
      </c>
      <c r="E393" s="413">
        <v>26</v>
      </c>
      <c r="F393" s="413">
        <v>43</v>
      </c>
      <c r="G393" s="413">
        <v>30</v>
      </c>
      <c r="H393" s="413">
        <v>46</v>
      </c>
      <c r="I393" s="413">
        <v>38</v>
      </c>
      <c r="J393" s="413">
        <v>62</v>
      </c>
      <c r="K393" s="413">
        <v>63</v>
      </c>
      <c r="L393" s="413">
        <v>57</v>
      </c>
      <c r="M393" s="413">
        <f t="shared" si="12"/>
        <v>385</v>
      </c>
      <c r="N393" s="363">
        <f t="shared" si="13"/>
        <v>4.0180761242785724E-3</v>
      </c>
    </row>
    <row r="394" spans="2:14" ht="14.25" thickTop="1" thickBot="1">
      <c r="B394" s="250">
        <v>51002</v>
      </c>
      <c r="C394" s="272" t="s">
        <v>979</v>
      </c>
      <c r="D394" s="413">
        <v>12</v>
      </c>
      <c r="E394" s="413">
        <v>75</v>
      </c>
      <c r="F394" s="413">
        <v>44</v>
      </c>
      <c r="G394" s="413">
        <v>62</v>
      </c>
      <c r="H394" s="413">
        <v>29</v>
      </c>
      <c r="I394" s="413">
        <v>30</v>
      </c>
      <c r="J394" s="413">
        <v>60</v>
      </c>
      <c r="K394" s="413">
        <v>55</v>
      </c>
      <c r="L394" s="413">
        <v>42</v>
      </c>
      <c r="M394" s="413">
        <f t="shared" si="12"/>
        <v>409</v>
      </c>
      <c r="N394" s="363">
        <f t="shared" si="13"/>
        <v>4.2685535969608735E-3</v>
      </c>
    </row>
    <row r="395" spans="2:14" ht="14.25" thickTop="1" thickBot="1">
      <c r="B395" s="250">
        <v>51003</v>
      </c>
      <c r="C395" s="272" t="s">
        <v>980</v>
      </c>
      <c r="D395" s="413">
        <v>5</v>
      </c>
      <c r="E395" s="413">
        <v>12</v>
      </c>
      <c r="F395" s="413">
        <v>12</v>
      </c>
      <c r="G395" s="413">
        <v>7</v>
      </c>
      <c r="H395" s="413">
        <v>8</v>
      </c>
      <c r="I395" s="413">
        <v>12</v>
      </c>
      <c r="J395" s="413">
        <v>18</v>
      </c>
      <c r="K395" s="413">
        <v>13</v>
      </c>
      <c r="L395" s="413">
        <v>13</v>
      </c>
      <c r="M395" s="413">
        <f t="shared" si="12"/>
        <v>100</v>
      </c>
      <c r="N395" s="363">
        <f t="shared" si="13"/>
        <v>1.0436561361762526E-3</v>
      </c>
    </row>
    <row r="396" spans="2:14" ht="14.25" thickTop="1" thickBot="1">
      <c r="B396" s="250">
        <v>51004</v>
      </c>
      <c r="C396" s="272" t="s">
        <v>981</v>
      </c>
      <c r="D396" s="413">
        <v>5</v>
      </c>
      <c r="E396" s="413">
        <v>3</v>
      </c>
      <c r="F396" s="413">
        <v>7</v>
      </c>
      <c r="G396" s="413">
        <v>13</v>
      </c>
      <c r="H396" s="413">
        <v>17</v>
      </c>
      <c r="I396" s="413">
        <v>15</v>
      </c>
      <c r="J396" s="413">
        <v>9</v>
      </c>
      <c r="K396" s="413">
        <v>13</v>
      </c>
      <c r="L396" s="413">
        <v>4</v>
      </c>
      <c r="M396" s="413">
        <f t="shared" si="12"/>
        <v>86</v>
      </c>
      <c r="N396" s="363">
        <f t="shared" si="13"/>
        <v>8.9754427711157729E-4</v>
      </c>
    </row>
    <row r="397" spans="2:14" ht="14.25" thickTop="1" thickBot="1">
      <c r="B397" s="250">
        <v>51101</v>
      </c>
      <c r="C397" s="272" t="s">
        <v>76</v>
      </c>
      <c r="D397" s="413">
        <v>26</v>
      </c>
      <c r="E397" s="413">
        <v>17</v>
      </c>
      <c r="F397" s="413">
        <v>8</v>
      </c>
      <c r="G397" s="413">
        <v>9</v>
      </c>
      <c r="H397" s="413">
        <v>30</v>
      </c>
      <c r="I397" s="413">
        <v>20</v>
      </c>
      <c r="J397" s="413">
        <v>35</v>
      </c>
      <c r="K397" s="413">
        <v>17</v>
      </c>
      <c r="L397" s="413">
        <v>30</v>
      </c>
      <c r="M397" s="413">
        <f t="shared" si="12"/>
        <v>192</v>
      </c>
      <c r="N397" s="363">
        <f t="shared" si="13"/>
        <v>2.0038197814584049E-3</v>
      </c>
    </row>
    <row r="398" spans="2:14" ht="14.25" thickTop="1" thickBot="1">
      <c r="B398" s="250">
        <v>51102</v>
      </c>
      <c r="C398" s="272" t="s">
        <v>982</v>
      </c>
      <c r="D398" s="413">
        <v>3</v>
      </c>
      <c r="E398" s="413">
        <v>3</v>
      </c>
      <c r="F398" s="413">
        <v>1</v>
      </c>
      <c r="G398" s="413">
        <v>1</v>
      </c>
      <c r="H398" s="413">
        <v>2</v>
      </c>
      <c r="I398" s="413">
        <v>6</v>
      </c>
      <c r="J398" s="413">
        <v>2</v>
      </c>
      <c r="K398" s="413">
        <v>2</v>
      </c>
      <c r="L398" s="413">
        <v>3</v>
      </c>
      <c r="M398" s="413">
        <f t="shared" si="12"/>
        <v>23</v>
      </c>
      <c r="N398" s="363">
        <f t="shared" si="13"/>
        <v>2.4004091132053812E-4</v>
      </c>
    </row>
    <row r="399" spans="2:14" ht="14.25" thickTop="1" thickBot="1">
      <c r="B399" s="250">
        <v>51103</v>
      </c>
      <c r="C399" s="272" t="s">
        <v>983</v>
      </c>
      <c r="D399" s="413">
        <v>2</v>
      </c>
      <c r="E399" s="413">
        <v>4</v>
      </c>
      <c r="F399" s="413">
        <v>3</v>
      </c>
      <c r="G399" s="413">
        <v>2</v>
      </c>
      <c r="H399" s="413">
        <v>7</v>
      </c>
      <c r="I399" s="413">
        <v>8</v>
      </c>
      <c r="J399" s="413">
        <v>7</v>
      </c>
      <c r="K399" s="413">
        <v>3</v>
      </c>
      <c r="L399" s="413">
        <v>4</v>
      </c>
      <c r="M399" s="413">
        <f t="shared" si="12"/>
        <v>40</v>
      </c>
      <c r="N399" s="363">
        <f t="shared" si="13"/>
        <v>4.1746245447050106E-4</v>
      </c>
    </row>
    <row r="400" spans="2:14" ht="14.25" thickTop="1" thickBot="1">
      <c r="B400" s="250">
        <v>51104</v>
      </c>
      <c r="C400" s="272" t="s">
        <v>984</v>
      </c>
      <c r="D400" s="413">
        <v>1</v>
      </c>
      <c r="E400" s="413">
        <v>5</v>
      </c>
      <c r="F400" s="413">
        <v>1</v>
      </c>
      <c r="G400" s="413">
        <v>2</v>
      </c>
      <c r="H400" s="413">
        <v>5</v>
      </c>
      <c r="I400" s="413">
        <v>7</v>
      </c>
      <c r="J400" s="413">
        <v>4</v>
      </c>
      <c r="K400" s="413">
        <v>6</v>
      </c>
      <c r="L400" s="413">
        <v>5</v>
      </c>
      <c r="M400" s="413">
        <f t="shared" si="12"/>
        <v>36</v>
      </c>
      <c r="N400" s="363">
        <f t="shared" si="13"/>
        <v>3.7571620902345095E-4</v>
      </c>
    </row>
    <row r="401" spans="2:14" ht="14.25" thickTop="1" thickBot="1">
      <c r="B401" s="250">
        <v>51105</v>
      </c>
      <c r="C401" s="272" t="s">
        <v>985</v>
      </c>
      <c r="D401" s="413" t="s">
        <v>156</v>
      </c>
      <c r="E401" s="413" t="s">
        <v>156</v>
      </c>
      <c r="F401" s="413" t="s">
        <v>156</v>
      </c>
      <c r="G401" s="413" t="s">
        <v>156</v>
      </c>
      <c r="H401" s="413" t="s">
        <v>156</v>
      </c>
      <c r="I401" s="413" t="s">
        <v>156</v>
      </c>
      <c r="J401" s="413" t="s">
        <v>156</v>
      </c>
      <c r="K401" s="413" t="s">
        <v>156</v>
      </c>
      <c r="L401" s="413" t="s">
        <v>156</v>
      </c>
      <c r="M401" s="413">
        <f t="shared" si="12"/>
        <v>0</v>
      </c>
      <c r="N401" s="363">
        <f t="shared" si="13"/>
        <v>0</v>
      </c>
    </row>
    <row r="402" spans="2:14" ht="14.25" thickTop="1" thickBot="1">
      <c r="B402" s="250">
        <v>60101</v>
      </c>
      <c r="C402" s="272" t="s">
        <v>77</v>
      </c>
      <c r="D402" s="413">
        <v>10</v>
      </c>
      <c r="E402" s="413">
        <v>18</v>
      </c>
      <c r="F402" s="413">
        <v>8</v>
      </c>
      <c r="G402" s="413">
        <v>18</v>
      </c>
      <c r="H402" s="413">
        <v>24</v>
      </c>
      <c r="I402" s="413">
        <v>17</v>
      </c>
      <c r="J402" s="413">
        <v>17</v>
      </c>
      <c r="K402" s="413">
        <v>16</v>
      </c>
      <c r="L402" s="413">
        <v>28</v>
      </c>
      <c r="M402" s="413">
        <f t="shared" si="12"/>
        <v>156</v>
      </c>
      <c r="N402" s="363">
        <f t="shared" si="13"/>
        <v>1.6281035724349541E-3</v>
      </c>
    </row>
    <row r="403" spans="2:14" ht="14.25" thickTop="1" thickBot="1">
      <c r="B403" s="250">
        <v>60102</v>
      </c>
      <c r="C403" s="272" t="s">
        <v>986</v>
      </c>
      <c r="D403" s="413">
        <v>9</v>
      </c>
      <c r="E403" s="413">
        <v>9</v>
      </c>
      <c r="F403" s="413">
        <v>3</v>
      </c>
      <c r="G403" s="413">
        <v>2</v>
      </c>
      <c r="H403" s="413">
        <v>2</v>
      </c>
      <c r="I403" s="413">
        <v>2</v>
      </c>
      <c r="J403" s="413">
        <v>2</v>
      </c>
      <c r="K403" s="413">
        <v>7</v>
      </c>
      <c r="L403" s="413">
        <v>7</v>
      </c>
      <c r="M403" s="413">
        <f t="shared" si="12"/>
        <v>43</v>
      </c>
      <c r="N403" s="363">
        <f t="shared" si="13"/>
        <v>4.4877213855578865E-4</v>
      </c>
    </row>
    <row r="404" spans="2:14" ht="14.25" thickTop="1" thickBot="1">
      <c r="B404" s="250">
        <v>60103</v>
      </c>
      <c r="C404" s="272" t="s">
        <v>987</v>
      </c>
      <c r="D404" s="413">
        <v>19</v>
      </c>
      <c r="E404" s="413">
        <v>19</v>
      </c>
      <c r="F404" s="413">
        <v>4</v>
      </c>
      <c r="G404" s="413">
        <v>7</v>
      </c>
      <c r="H404" s="413">
        <v>7</v>
      </c>
      <c r="I404" s="413">
        <v>17</v>
      </c>
      <c r="J404" s="413">
        <v>61</v>
      </c>
      <c r="K404" s="413">
        <v>28</v>
      </c>
      <c r="L404" s="413">
        <v>25</v>
      </c>
      <c r="M404" s="413">
        <f t="shared" si="12"/>
        <v>187</v>
      </c>
      <c r="N404" s="363">
        <f t="shared" si="13"/>
        <v>1.9516369746495925E-3</v>
      </c>
    </row>
    <row r="405" spans="2:14" ht="14.25" thickTop="1" thickBot="1">
      <c r="B405" s="250">
        <v>60104</v>
      </c>
      <c r="C405" s="272" t="s">
        <v>988</v>
      </c>
      <c r="D405" s="413">
        <v>80</v>
      </c>
      <c r="E405" s="413">
        <v>42</v>
      </c>
      <c r="F405" s="413">
        <v>83</v>
      </c>
      <c r="G405" s="413">
        <v>21</v>
      </c>
      <c r="H405" s="413">
        <v>27</v>
      </c>
      <c r="I405" s="413">
        <v>42</v>
      </c>
      <c r="J405" s="413">
        <v>34</v>
      </c>
      <c r="K405" s="413">
        <v>25</v>
      </c>
      <c r="L405" s="413">
        <v>35</v>
      </c>
      <c r="M405" s="413">
        <f t="shared" si="12"/>
        <v>389</v>
      </c>
      <c r="N405" s="363">
        <f t="shared" si="13"/>
        <v>4.0598223697256228E-3</v>
      </c>
    </row>
    <row r="406" spans="2:14" ht="14.25" thickTop="1" thickBot="1">
      <c r="B406" s="250">
        <v>60105</v>
      </c>
      <c r="C406" s="272" t="s">
        <v>989</v>
      </c>
      <c r="D406" s="413">
        <v>72</v>
      </c>
      <c r="E406" s="413">
        <v>100</v>
      </c>
      <c r="F406" s="413">
        <v>16</v>
      </c>
      <c r="G406" s="413">
        <v>8</v>
      </c>
      <c r="H406" s="413">
        <v>9</v>
      </c>
      <c r="I406" s="413">
        <v>66</v>
      </c>
      <c r="J406" s="413">
        <v>63</v>
      </c>
      <c r="K406" s="413">
        <v>35</v>
      </c>
      <c r="L406" s="413">
        <v>18</v>
      </c>
      <c r="M406" s="413">
        <f t="shared" si="12"/>
        <v>387</v>
      </c>
      <c r="N406" s="363">
        <f t="shared" si="13"/>
        <v>4.0389492470020976E-3</v>
      </c>
    </row>
    <row r="407" spans="2:14" ht="14.25" thickTop="1" thickBot="1">
      <c r="B407" s="250">
        <v>60106</v>
      </c>
      <c r="C407" s="272" t="s">
        <v>990</v>
      </c>
      <c r="D407" s="413">
        <v>8</v>
      </c>
      <c r="E407" s="413">
        <v>5</v>
      </c>
      <c r="F407" s="413">
        <v>2</v>
      </c>
      <c r="G407" s="413">
        <v>2</v>
      </c>
      <c r="H407" s="413">
        <v>6</v>
      </c>
      <c r="I407" s="413">
        <v>3</v>
      </c>
      <c r="J407" s="413">
        <v>4</v>
      </c>
      <c r="K407" s="413">
        <v>4</v>
      </c>
      <c r="L407" s="413">
        <v>7</v>
      </c>
      <c r="M407" s="413">
        <f t="shared" si="12"/>
        <v>41</v>
      </c>
      <c r="N407" s="363">
        <f t="shared" si="13"/>
        <v>4.2789901583226359E-4</v>
      </c>
    </row>
    <row r="408" spans="2:14" ht="14.25" thickTop="1" thickBot="1">
      <c r="B408" s="250">
        <v>60107</v>
      </c>
      <c r="C408" s="272" t="s">
        <v>991</v>
      </c>
      <c r="D408" s="413">
        <v>3</v>
      </c>
      <c r="E408" s="413">
        <v>4</v>
      </c>
      <c r="F408" s="413" t="s">
        <v>156</v>
      </c>
      <c r="G408" s="413">
        <v>4</v>
      </c>
      <c r="H408" s="413">
        <v>4</v>
      </c>
      <c r="I408" s="413">
        <v>3</v>
      </c>
      <c r="J408" s="413">
        <v>2</v>
      </c>
      <c r="K408" s="413">
        <v>3</v>
      </c>
      <c r="L408" s="413">
        <v>4</v>
      </c>
      <c r="M408" s="413">
        <f t="shared" si="12"/>
        <v>27</v>
      </c>
      <c r="N408" s="363">
        <f t="shared" si="13"/>
        <v>2.817871567675882E-4</v>
      </c>
    </row>
    <row r="409" spans="2:14" ht="14.25" thickTop="1" thickBot="1">
      <c r="B409" s="250">
        <v>60108</v>
      </c>
      <c r="C409" s="272" t="s">
        <v>992</v>
      </c>
      <c r="D409" s="413">
        <v>73</v>
      </c>
      <c r="E409" s="413">
        <v>199</v>
      </c>
      <c r="F409" s="413">
        <v>61</v>
      </c>
      <c r="G409" s="413">
        <v>87</v>
      </c>
      <c r="H409" s="413">
        <v>126</v>
      </c>
      <c r="I409" s="413">
        <v>92</v>
      </c>
      <c r="J409" s="413">
        <v>65</v>
      </c>
      <c r="K409" s="413">
        <v>46</v>
      </c>
      <c r="L409" s="413">
        <v>51</v>
      </c>
      <c r="M409" s="413">
        <f t="shared" si="12"/>
        <v>800</v>
      </c>
      <c r="N409" s="363">
        <f t="shared" si="13"/>
        <v>8.3492490894100206E-3</v>
      </c>
    </row>
    <row r="410" spans="2:14" ht="14.25" thickTop="1" thickBot="1">
      <c r="B410" s="250">
        <v>60109</v>
      </c>
      <c r="C410" s="272" t="s">
        <v>993</v>
      </c>
      <c r="D410" s="413">
        <v>4</v>
      </c>
      <c r="E410" s="413" t="s">
        <v>156</v>
      </c>
      <c r="F410" s="413">
        <v>3</v>
      </c>
      <c r="G410" s="413">
        <v>4</v>
      </c>
      <c r="H410" s="413">
        <v>5</v>
      </c>
      <c r="I410" s="413">
        <v>3</v>
      </c>
      <c r="J410" s="413">
        <v>4</v>
      </c>
      <c r="K410" s="413">
        <v>7</v>
      </c>
      <c r="L410" s="413">
        <v>7</v>
      </c>
      <c r="M410" s="413">
        <f t="shared" si="12"/>
        <v>37</v>
      </c>
      <c r="N410" s="363">
        <f t="shared" si="13"/>
        <v>3.8615277038521348E-4</v>
      </c>
    </row>
    <row r="411" spans="2:14" ht="14.25" thickTop="1" thickBot="1">
      <c r="B411" s="250">
        <v>60110</v>
      </c>
      <c r="C411" s="272" t="s">
        <v>994</v>
      </c>
      <c r="D411" s="413" t="s">
        <v>156</v>
      </c>
      <c r="E411" s="413" t="s">
        <v>156</v>
      </c>
      <c r="F411" s="413" t="s">
        <v>156</v>
      </c>
      <c r="G411" s="413" t="s">
        <v>156</v>
      </c>
      <c r="H411" s="413" t="s">
        <v>156</v>
      </c>
      <c r="I411" s="413" t="s">
        <v>156</v>
      </c>
      <c r="J411" s="413" t="s">
        <v>156</v>
      </c>
      <c r="K411" s="413" t="s">
        <v>156</v>
      </c>
      <c r="L411" s="413" t="s">
        <v>156</v>
      </c>
      <c r="M411" s="413">
        <f t="shared" si="12"/>
        <v>0</v>
      </c>
      <c r="N411" s="363">
        <f t="shared" si="13"/>
        <v>0</v>
      </c>
    </row>
    <row r="412" spans="2:14" ht="14.25" thickTop="1" thickBot="1">
      <c r="B412" s="250">
        <v>60111</v>
      </c>
      <c r="C412" s="272" t="s">
        <v>995</v>
      </c>
      <c r="D412" s="413">
        <v>5</v>
      </c>
      <c r="E412" s="413">
        <v>5</v>
      </c>
      <c r="F412" s="413">
        <v>5</v>
      </c>
      <c r="G412" s="413">
        <v>4</v>
      </c>
      <c r="H412" s="413">
        <v>6</v>
      </c>
      <c r="I412" s="413">
        <v>13</v>
      </c>
      <c r="J412" s="413">
        <v>28</v>
      </c>
      <c r="K412" s="413">
        <v>30</v>
      </c>
      <c r="L412" s="413">
        <v>14</v>
      </c>
      <c r="M412" s="413">
        <f t="shared" si="12"/>
        <v>110</v>
      </c>
      <c r="N412" s="363">
        <f t="shared" si="13"/>
        <v>1.148021749793878E-3</v>
      </c>
    </row>
    <row r="413" spans="2:14" ht="14.25" thickTop="1" thickBot="1">
      <c r="B413" s="250">
        <v>60112</v>
      </c>
      <c r="C413" s="272" t="s">
        <v>996</v>
      </c>
      <c r="D413" s="413">
        <v>15</v>
      </c>
      <c r="E413" s="413">
        <v>105</v>
      </c>
      <c r="F413" s="413">
        <v>12</v>
      </c>
      <c r="G413" s="413">
        <v>16</v>
      </c>
      <c r="H413" s="413">
        <v>17</v>
      </c>
      <c r="I413" s="413">
        <v>17</v>
      </c>
      <c r="J413" s="413">
        <v>49</v>
      </c>
      <c r="K413" s="413">
        <v>12</v>
      </c>
      <c r="L413" s="413">
        <v>17</v>
      </c>
      <c r="M413" s="413">
        <f t="shared" si="12"/>
        <v>260</v>
      </c>
      <c r="N413" s="363">
        <f t="shared" si="13"/>
        <v>2.713505954058257E-3</v>
      </c>
    </row>
    <row r="414" spans="2:14" ht="14.25" thickTop="1" thickBot="1">
      <c r="B414" s="250">
        <v>60113</v>
      </c>
      <c r="C414" s="272" t="s">
        <v>997</v>
      </c>
      <c r="D414" s="413" t="s">
        <v>156</v>
      </c>
      <c r="E414" s="413" t="s">
        <v>156</v>
      </c>
      <c r="F414" s="413" t="s">
        <v>156</v>
      </c>
      <c r="G414" s="413" t="s">
        <v>156</v>
      </c>
      <c r="H414" s="413" t="s">
        <v>156</v>
      </c>
      <c r="I414" s="413" t="s">
        <v>156</v>
      </c>
      <c r="J414" s="413" t="s">
        <v>156</v>
      </c>
      <c r="K414" s="413" t="s">
        <v>156</v>
      </c>
      <c r="L414" s="413" t="s">
        <v>156</v>
      </c>
      <c r="M414" s="413">
        <f t="shared" si="12"/>
        <v>0</v>
      </c>
      <c r="N414" s="363">
        <f t="shared" si="13"/>
        <v>0</v>
      </c>
    </row>
    <row r="415" spans="2:14" ht="14.25" thickTop="1" thickBot="1">
      <c r="B415" s="250">
        <v>60114</v>
      </c>
      <c r="C415" s="272" t="s">
        <v>998</v>
      </c>
      <c r="D415" s="413">
        <v>9</v>
      </c>
      <c r="E415" s="413">
        <v>3</v>
      </c>
      <c r="F415" s="413" t="s">
        <v>156</v>
      </c>
      <c r="G415" s="413">
        <v>1</v>
      </c>
      <c r="H415" s="413">
        <v>2</v>
      </c>
      <c r="I415" s="413">
        <v>3</v>
      </c>
      <c r="J415" s="413">
        <v>1</v>
      </c>
      <c r="K415" s="413">
        <v>4</v>
      </c>
      <c r="L415" s="413">
        <v>5</v>
      </c>
      <c r="M415" s="413">
        <f t="shared" si="12"/>
        <v>28</v>
      </c>
      <c r="N415" s="363">
        <f t="shared" si="13"/>
        <v>2.9222371812935073E-4</v>
      </c>
    </row>
    <row r="416" spans="2:14" ht="14.25" thickTop="1" thickBot="1">
      <c r="B416" s="250">
        <v>60115</v>
      </c>
      <c r="C416" s="272" t="s">
        <v>999</v>
      </c>
      <c r="D416" s="413">
        <v>3</v>
      </c>
      <c r="E416" s="413">
        <v>19</v>
      </c>
      <c r="F416" s="413">
        <v>10</v>
      </c>
      <c r="G416" s="413">
        <v>1</v>
      </c>
      <c r="H416" s="413">
        <v>5</v>
      </c>
      <c r="I416" s="413">
        <v>12</v>
      </c>
      <c r="J416" s="413">
        <v>41</v>
      </c>
      <c r="K416" s="413">
        <v>44</v>
      </c>
      <c r="L416" s="413">
        <v>136</v>
      </c>
      <c r="M416" s="413">
        <f t="shared" si="12"/>
        <v>271</v>
      </c>
      <c r="N416" s="363">
        <f t="shared" si="13"/>
        <v>2.8283081290376446E-3</v>
      </c>
    </row>
    <row r="417" spans="2:14" ht="14.25" thickTop="1" thickBot="1">
      <c r="B417" s="250">
        <v>60116</v>
      </c>
      <c r="C417" s="272" t="s">
        <v>1000</v>
      </c>
      <c r="D417" s="413">
        <v>8</v>
      </c>
      <c r="E417" s="413">
        <v>2</v>
      </c>
      <c r="F417" s="413">
        <v>2</v>
      </c>
      <c r="G417" s="413">
        <v>1</v>
      </c>
      <c r="H417" s="413">
        <v>1</v>
      </c>
      <c r="I417" s="413">
        <v>3</v>
      </c>
      <c r="J417" s="413">
        <v>1</v>
      </c>
      <c r="K417" s="413">
        <v>1</v>
      </c>
      <c r="L417" s="413">
        <v>1</v>
      </c>
      <c r="M417" s="413">
        <f t="shared" si="12"/>
        <v>20</v>
      </c>
      <c r="N417" s="363">
        <f t="shared" si="13"/>
        <v>2.0873122723525053E-4</v>
      </c>
    </row>
    <row r="418" spans="2:14" ht="14.25" thickTop="1" thickBot="1">
      <c r="B418" s="250">
        <v>60201</v>
      </c>
      <c r="C418" s="272" t="s">
        <v>1001</v>
      </c>
      <c r="D418" s="413">
        <v>17</v>
      </c>
      <c r="E418" s="413">
        <v>18</v>
      </c>
      <c r="F418" s="413">
        <v>15</v>
      </c>
      <c r="G418" s="413">
        <v>17</v>
      </c>
      <c r="H418" s="413">
        <v>14</v>
      </c>
      <c r="I418" s="413">
        <v>11</v>
      </c>
      <c r="J418" s="413">
        <v>17</v>
      </c>
      <c r="K418" s="413">
        <v>17</v>
      </c>
      <c r="L418" s="413">
        <v>24</v>
      </c>
      <c r="M418" s="413">
        <f t="shared" si="12"/>
        <v>150</v>
      </c>
      <c r="N418" s="363">
        <f t="shared" si="13"/>
        <v>1.5654842042643789E-3</v>
      </c>
    </row>
    <row r="419" spans="2:14" ht="14.25" thickTop="1" thickBot="1">
      <c r="B419" s="250">
        <v>60202</v>
      </c>
      <c r="C419" s="272" t="s">
        <v>1002</v>
      </c>
      <c r="D419" s="413">
        <v>6</v>
      </c>
      <c r="E419" s="413">
        <v>14</v>
      </c>
      <c r="F419" s="413">
        <v>12</v>
      </c>
      <c r="G419" s="413">
        <v>8</v>
      </c>
      <c r="H419" s="413">
        <v>8</v>
      </c>
      <c r="I419" s="413">
        <v>9</v>
      </c>
      <c r="J419" s="413">
        <v>8</v>
      </c>
      <c r="K419" s="413">
        <v>12</v>
      </c>
      <c r="L419" s="413">
        <v>12</v>
      </c>
      <c r="M419" s="413">
        <f t="shared" si="12"/>
        <v>89</v>
      </c>
      <c r="N419" s="363">
        <f t="shared" si="13"/>
        <v>9.2885396119686482E-4</v>
      </c>
    </row>
    <row r="420" spans="2:14" ht="14.25" thickTop="1" thickBot="1">
      <c r="B420" s="250">
        <v>60203</v>
      </c>
      <c r="C420" s="272" t="s">
        <v>1003</v>
      </c>
      <c r="D420" s="413">
        <v>3</v>
      </c>
      <c r="E420" s="413">
        <v>100</v>
      </c>
      <c r="F420" s="413">
        <v>8</v>
      </c>
      <c r="G420" s="413">
        <v>7</v>
      </c>
      <c r="H420" s="413">
        <v>9</v>
      </c>
      <c r="I420" s="413">
        <v>1</v>
      </c>
      <c r="J420" s="413">
        <v>5</v>
      </c>
      <c r="K420" s="413">
        <v>9</v>
      </c>
      <c r="L420" s="413">
        <v>6</v>
      </c>
      <c r="M420" s="413">
        <f t="shared" si="12"/>
        <v>148</v>
      </c>
      <c r="N420" s="363">
        <f t="shared" si="13"/>
        <v>1.5446110815408539E-3</v>
      </c>
    </row>
    <row r="421" spans="2:14" ht="14.25" thickTop="1" thickBot="1">
      <c r="B421" s="250">
        <v>60204</v>
      </c>
      <c r="C421" s="272" t="s">
        <v>18</v>
      </c>
      <c r="D421" s="413">
        <v>5</v>
      </c>
      <c r="E421" s="413">
        <v>2</v>
      </c>
      <c r="F421" s="413">
        <v>7</v>
      </c>
      <c r="G421" s="413">
        <v>9</v>
      </c>
      <c r="H421" s="413">
        <v>4</v>
      </c>
      <c r="I421" s="413">
        <v>8</v>
      </c>
      <c r="J421" s="413">
        <v>10</v>
      </c>
      <c r="K421" s="413">
        <v>8</v>
      </c>
      <c r="L421" s="413">
        <v>8</v>
      </c>
      <c r="M421" s="413">
        <f t="shared" si="12"/>
        <v>61</v>
      </c>
      <c r="N421" s="363">
        <f t="shared" si="13"/>
        <v>6.3663024306751415E-4</v>
      </c>
    </row>
    <row r="422" spans="2:14" ht="14.25" thickTop="1" thickBot="1">
      <c r="B422" s="250">
        <v>60205</v>
      </c>
      <c r="C422" s="272" t="s">
        <v>788</v>
      </c>
      <c r="D422" s="413">
        <v>4</v>
      </c>
      <c r="E422" s="413">
        <v>1</v>
      </c>
      <c r="F422" s="413">
        <v>2</v>
      </c>
      <c r="G422" s="413">
        <v>3</v>
      </c>
      <c r="H422" s="413" t="s">
        <v>156</v>
      </c>
      <c r="I422" s="413">
        <v>4</v>
      </c>
      <c r="J422" s="413">
        <v>5</v>
      </c>
      <c r="K422" s="413">
        <v>6</v>
      </c>
      <c r="L422" s="413">
        <v>3</v>
      </c>
      <c r="M422" s="413">
        <f t="shared" si="12"/>
        <v>28</v>
      </c>
      <c r="N422" s="363">
        <f t="shared" si="13"/>
        <v>2.9222371812935073E-4</v>
      </c>
    </row>
    <row r="423" spans="2:14" ht="14.25" thickTop="1" thickBot="1">
      <c r="B423" s="250">
        <v>60206</v>
      </c>
      <c r="C423" s="272" t="s">
        <v>1004</v>
      </c>
      <c r="D423" s="413" t="s">
        <v>156</v>
      </c>
      <c r="E423" s="413" t="s">
        <v>156</v>
      </c>
      <c r="F423" s="413" t="s">
        <v>156</v>
      </c>
      <c r="G423" s="413" t="s">
        <v>156</v>
      </c>
      <c r="H423" s="413" t="s">
        <v>156</v>
      </c>
      <c r="I423" s="413" t="s">
        <v>156</v>
      </c>
      <c r="J423" s="413" t="s">
        <v>156</v>
      </c>
      <c r="K423" s="413">
        <v>1</v>
      </c>
      <c r="L423" s="413">
        <v>1</v>
      </c>
      <c r="M423" s="413">
        <f t="shared" si="12"/>
        <v>2</v>
      </c>
      <c r="N423" s="363">
        <f t="shared" si="13"/>
        <v>2.0873122723525052E-5</v>
      </c>
    </row>
    <row r="424" spans="2:14" ht="14.25" thickTop="1" thickBot="1">
      <c r="B424" s="250">
        <v>60301</v>
      </c>
      <c r="C424" s="272" t="s">
        <v>79</v>
      </c>
      <c r="D424" s="413">
        <v>241</v>
      </c>
      <c r="E424" s="413">
        <v>156</v>
      </c>
      <c r="F424" s="413">
        <v>148</v>
      </c>
      <c r="G424" s="413">
        <v>92</v>
      </c>
      <c r="H424" s="413">
        <v>77</v>
      </c>
      <c r="I424" s="413">
        <v>105</v>
      </c>
      <c r="J424" s="413">
        <v>158</v>
      </c>
      <c r="K424" s="413">
        <v>135</v>
      </c>
      <c r="L424" s="413">
        <v>131</v>
      </c>
      <c r="M424" s="413">
        <f t="shared" si="12"/>
        <v>1243</v>
      </c>
      <c r="N424" s="363">
        <f t="shared" si="13"/>
        <v>1.2972645772670821E-2</v>
      </c>
    </row>
    <row r="425" spans="2:14" ht="14.25" thickTop="1" thickBot="1">
      <c r="B425" s="250">
        <v>60302</v>
      </c>
      <c r="C425" s="272" t="s">
        <v>1005</v>
      </c>
      <c r="D425" s="413">
        <v>22</v>
      </c>
      <c r="E425" s="413">
        <v>21</v>
      </c>
      <c r="F425" s="413">
        <v>25</v>
      </c>
      <c r="G425" s="413">
        <v>26</v>
      </c>
      <c r="H425" s="413">
        <v>41</v>
      </c>
      <c r="I425" s="413">
        <v>74</v>
      </c>
      <c r="J425" s="413">
        <v>42</v>
      </c>
      <c r="K425" s="413">
        <v>54</v>
      </c>
      <c r="L425" s="413">
        <v>41</v>
      </c>
      <c r="M425" s="413">
        <f t="shared" si="12"/>
        <v>346</v>
      </c>
      <c r="N425" s="363">
        <f t="shared" si="13"/>
        <v>3.6110502311698343E-3</v>
      </c>
    </row>
    <row r="426" spans="2:14" ht="14.25" thickTop="1" thickBot="1">
      <c r="B426" s="250">
        <v>60303</v>
      </c>
      <c r="C426" s="272" t="s">
        <v>1006</v>
      </c>
      <c r="D426" s="413">
        <v>53</v>
      </c>
      <c r="E426" s="413">
        <v>96</v>
      </c>
      <c r="F426" s="413">
        <v>62</v>
      </c>
      <c r="G426" s="413">
        <v>77</v>
      </c>
      <c r="H426" s="413">
        <v>109</v>
      </c>
      <c r="I426" s="413">
        <v>98</v>
      </c>
      <c r="J426" s="413">
        <v>119</v>
      </c>
      <c r="K426" s="413">
        <v>67</v>
      </c>
      <c r="L426" s="413">
        <v>40</v>
      </c>
      <c r="M426" s="413">
        <f t="shared" si="12"/>
        <v>721</v>
      </c>
      <c r="N426" s="363">
        <f t="shared" si="13"/>
        <v>7.5247607418307818E-3</v>
      </c>
    </row>
    <row r="427" spans="2:14" ht="14.25" thickTop="1" thickBot="1">
      <c r="B427" s="250">
        <v>60304</v>
      </c>
      <c r="C427" s="272" t="s">
        <v>1007</v>
      </c>
      <c r="D427" s="413">
        <v>24</v>
      </c>
      <c r="E427" s="413">
        <v>48</v>
      </c>
      <c r="F427" s="413">
        <v>17</v>
      </c>
      <c r="G427" s="413">
        <v>18</v>
      </c>
      <c r="H427" s="413" t="s">
        <v>156</v>
      </c>
      <c r="I427" s="413">
        <v>27</v>
      </c>
      <c r="J427" s="413">
        <v>8</v>
      </c>
      <c r="K427" s="413">
        <v>1</v>
      </c>
      <c r="L427" s="413">
        <v>6</v>
      </c>
      <c r="M427" s="413">
        <f t="shared" si="12"/>
        <v>149</v>
      </c>
      <c r="N427" s="363">
        <f t="shared" si="13"/>
        <v>1.5550476429026165E-3</v>
      </c>
    </row>
    <row r="428" spans="2:14" ht="14.25" thickTop="1" thickBot="1">
      <c r="B428" s="250">
        <v>60305</v>
      </c>
      <c r="C428" s="272" t="s">
        <v>1008</v>
      </c>
      <c r="D428" s="413">
        <v>29</v>
      </c>
      <c r="E428" s="413">
        <v>17</v>
      </c>
      <c r="F428" s="413">
        <v>7</v>
      </c>
      <c r="G428" s="413">
        <v>14</v>
      </c>
      <c r="H428" s="413">
        <v>11</v>
      </c>
      <c r="I428" s="413">
        <v>17</v>
      </c>
      <c r="J428" s="413">
        <v>18</v>
      </c>
      <c r="K428" s="413">
        <v>16</v>
      </c>
      <c r="L428" s="413">
        <v>10</v>
      </c>
      <c r="M428" s="413">
        <f t="shared" si="12"/>
        <v>139</v>
      </c>
      <c r="N428" s="363">
        <f t="shared" si="13"/>
        <v>1.4506820292849911E-3</v>
      </c>
    </row>
    <row r="429" spans="2:14" ht="14.25" thickTop="1" thickBot="1">
      <c r="B429" s="250">
        <v>60306</v>
      </c>
      <c r="C429" s="272" t="s">
        <v>1009</v>
      </c>
      <c r="D429" s="413">
        <v>6</v>
      </c>
      <c r="E429" s="413">
        <v>3</v>
      </c>
      <c r="F429" s="413">
        <v>18</v>
      </c>
      <c r="G429" s="413">
        <v>12</v>
      </c>
      <c r="H429" s="413">
        <v>15</v>
      </c>
      <c r="I429" s="413">
        <v>6</v>
      </c>
      <c r="J429" s="413">
        <v>8</v>
      </c>
      <c r="K429" s="413">
        <v>8</v>
      </c>
      <c r="L429" s="413">
        <v>11</v>
      </c>
      <c r="M429" s="413">
        <f t="shared" si="12"/>
        <v>87</v>
      </c>
      <c r="N429" s="363">
        <f t="shared" si="13"/>
        <v>9.0798083847333977E-4</v>
      </c>
    </row>
    <row r="430" spans="2:14" ht="14.25" thickTop="1" thickBot="1">
      <c r="B430" s="250">
        <v>60307</v>
      </c>
      <c r="C430" s="272" t="s">
        <v>1010</v>
      </c>
      <c r="D430" s="413">
        <v>5</v>
      </c>
      <c r="E430" s="413">
        <v>8</v>
      </c>
      <c r="F430" s="413">
        <v>18</v>
      </c>
      <c r="G430" s="413">
        <v>13</v>
      </c>
      <c r="H430" s="413">
        <v>37</v>
      </c>
      <c r="I430" s="413">
        <v>41</v>
      </c>
      <c r="J430" s="413">
        <v>24</v>
      </c>
      <c r="K430" s="413">
        <v>15</v>
      </c>
      <c r="L430" s="413">
        <v>7</v>
      </c>
      <c r="M430" s="413">
        <f t="shared" si="12"/>
        <v>168</v>
      </c>
      <c r="N430" s="363">
        <f t="shared" si="13"/>
        <v>1.7533423087761045E-3</v>
      </c>
    </row>
    <row r="431" spans="2:14" ht="14.25" thickTop="1" thickBot="1">
      <c r="B431" s="250">
        <v>60308</v>
      </c>
      <c r="C431" s="272" t="s">
        <v>1011</v>
      </c>
      <c r="D431" s="413">
        <v>7</v>
      </c>
      <c r="E431" s="413">
        <v>13</v>
      </c>
      <c r="F431" s="413">
        <v>15</v>
      </c>
      <c r="G431" s="413">
        <v>9</v>
      </c>
      <c r="H431" s="413">
        <v>39</v>
      </c>
      <c r="I431" s="413">
        <v>22</v>
      </c>
      <c r="J431" s="413">
        <v>40</v>
      </c>
      <c r="K431" s="413">
        <v>26</v>
      </c>
      <c r="L431" s="413">
        <v>21</v>
      </c>
      <c r="M431" s="413">
        <f t="shared" si="12"/>
        <v>192</v>
      </c>
      <c r="N431" s="363">
        <f t="shared" si="13"/>
        <v>2.0038197814584049E-3</v>
      </c>
    </row>
    <row r="432" spans="2:14" ht="14.25" thickTop="1" thickBot="1">
      <c r="B432" s="250">
        <v>60309</v>
      </c>
      <c r="C432" s="272" t="s">
        <v>1012</v>
      </c>
      <c r="D432" s="413">
        <v>13</v>
      </c>
      <c r="E432" s="413">
        <v>7</v>
      </c>
      <c r="F432" s="413">
        <v>54</v>
      </c>
      <c r="G432" s="413">
        <v>21</v>
      </c>
      <c r="H432" s="413">
        <v>42</v>
      </c>
      <c r="I432" s="413">
        <v>28</v>
      </c>
      <c r="J432" s="413">
        <v>42</v>
      </c>
      <c r="K432" s="413">
        <v>39</v>
      </c>
      <c r="L432" s="413">
        <v>33</v>
      </c>
      <c r="M432" s="413">
        <f t="shared" si="12"/>
        <v>279</v>
      </c>
      <c r="N432" s="363">
        <f t="shared" si="13"/>
        <v>2.9118006199317448E-3</v>
      </c>
    </row>
    <row r="433" spans="2:14" ht="14.25" thickTop="1" thickBot="1">
      <c r="B433" s="250">
        <v>60401</v>
      </c>
      <c r="C433" s="272" t="s">
        <v>1013</v>
      </c>
      <c r="D433" s="413">
        <v>13</v>
      </c>
      <c r="E433" s="413">
        <v>13</v>
      </c>
      <c r="F433" s="413">
        <v>13</v>
      </c>
      <c r="G433" s="413">
        <v>18</v>
      </c>
      <c r="H433" s="413">
        <v>10</v>
      </c>
      <c r="I433" s="413">
        <v>8</v>
      </c>
      <c r="J433" s="413">
        <v>20</v>
      </c>
      <c r="K433" s="413">
        <v>13</v>
      </c>
      <c r="L433" s="413">
        <v>7</v>
      </c>
      <c r="M433" s="413">
        <f t="shared" si="12"/>
        <v>115</v>
      </c>
      <c r="N433" s="363">
        <f t="shared" si="13"/>
        <v>1.2002045566026904E-3</v>
      </c>
    </row>
    <row r="434" spans="2:14" ht="14.25" thickTop="1" thickBot="1">
      <c r="B434" s="250">
        <v>60402</v>
      </c>
      <c r="C434" s="272" t="s">
        <v>31</v>
      </c>
      <c r="D434" s="413">
        <v>17</v>
      </c>
      <c r="E434" s="413">
        <v>3</v>
      </c>
      <c r="F434" s="413">
        <v>3</v>
      </c>
      <c r="G434" s="413">
        <v>2</v>
      </c>
      <c r="H434" s="413">
        <v>2</v>
      </c>
      <c r="I434" s="413">
        <v>6</v>
      </c>
      <c r="J434" s="413">
        <v>3</v>
      </c>
      <c r="K434" s="413">
        <v>2</v>
      </c>
      <c r="L434" s="413">
        <v>1</v>
      </c>
      <c r="M434" s="413">
        <f t="shared" si="12"/>
        <v>39</v>
      </c>
      <c r="N434" s="363">
        <f t="shared" si="13"/>
        <v>4.0702589310873854E-4</v>
      </c>
    </row>
    <row r="435" spans="2:14" ht="14.25" thickTop="1" thickBot="1">
      <c r="B435" s="250">
        <v>60403</v>
      </c>
      <c r="C435" s="272" t="s">
        <v>63</v>
      </c>
      <c r="D435" s="413">
        <v>10</v>
      </c>
      <c r="E435" s="413">
        <v>5</v>
      </c>
      <c r="F435" s="413">
        <v>2</v>
      </c>
      <c r="G435" s="413">
        <v>14</v>
      </c>
      <c r="H435" s="413">
        <v>10</v>
      </c>
      <c r="I435" s="413">
        <v>17</v>
      </c>
      <c r="J435" s="413">
        <v>17</v>
      </c>
      <c r="K435" s="413">
        <v>11</v>
      </c>
      <c r="L435" s="413">
        <v>11</v>
      </c>
      <c r="M435" s="413">
        <f t="shared" si="12"/>
        <v>97</v>
      </c>
      <c r="N435" s="363">
        <f t="shared" si="13"/>
        <v>1.012346452090965E-3</v>
      </c>
    </row>
    <row r="436" spans="2:14" ht="14.25" thickTop="1" thickBot="1">
      <c r="B436" s="250">
        <v>60501</v>
      </c>
      <c r="C436" s="272" t="s">
        <v>1014</v>
      </c>
      <c r="D436" s="413">
        <v>33</v>
      </c>
      <c r="E436" s="413">
        <v>26</v>
      </c>
      <c r="F436" s="413">
        <v>19</v>
      </c>
      <c r="G436" s="413">
        <v>26</v>
      </c>
      <c r="H436" s="413">
        <v>49</v>
      </c>
      <c r="I436" s="413">
        <v>51</v>
      </c>
      <c r="J436" s="413">
        <v>68</v>
      </c>
      <c r="K436" s="413">
        <v>67</v>
      </c>
      <c r="L436" s="413">
        <v>68</v>
      </c>
      <c r="M436" s="413">
        <f t="shared" si="12"/>
        <v>407</v>
      </c>
      <c r="N436" s="363">
        <f t="shared" si="13"/>
        <v>4.2476804742373484E-3</v>
      </c>
    </row>
    <row r="437" spans="2:14" ht="14.25" thickTop="1" thickBot="1">
      <c r="B437" s="250">
        <v>60502</v>
      </c>
      <c r="C437" s="272" t="s">
        <v>1015</v>
      </c>
      <c r="D437" s="413">
        <v>11</v>
      </c>
      <c r="E437" s="413">
        <v>27</v>
      </c>
      <c r="F437" s="413">
        <v>29</v>
      </c>
      <c r="G437" s="413">
        <v>44</v>
      </c>
      <c r="H437" s="413">
        <v>50</v>
      </c>
      <c r="I437" s="413">
        <v>54</v>
      </c>
      <c r="J437" s="413">
        <v>72</v>
      </c>
      <c r="K437" s="413">
        <v>58</v>
      </c>
      <c r="L437" s="413">
        <v>64</v>
      </c>
      <c r="M437" s="413">
        <f t="shared" si="12"/>
        <v>409</v>
      </c>
      <c r="N437" s="363">
        <f t="shared" si="13"/>
        <v>4.2685535969608735E-3</v>
      </c>
    </row>
    <row r="438" spans="2:14" ht="14.25" thickTop="1" thickBot="1">
      <c r="B438" s="250">
        <v>60503</v>
      </c>
      <c r="C438" s="272" t="s">
        <v>1016</v>
      </c>
      <c r="D438" s="413">
        <v>4</v>
      </c>
      <c r="E438" s="413">
        <v>3</v>
      </c>
      <c r="F438" s="413">
        <v>10</v>
      </c>
      <c r="G438" s="413">
        <v>13</v>
      </c>
      <c r="H438" s="413">
        <v>14</v>
      </c>
      <c r="I438" s="413">
        <v>23</v>
      </c>
      <c r="J438" s="413">
        <v>18</v>
      </c>
      <c r="K438" s="413">
        <v>20</v>
      </c>
      <c r="L438" s="413">
        <v>16</v>
      </c>
      <c r="M438" s="413">
        <f t="shared" si="12"/>
        <v>121</v>
      </c>
      <c r="N438" s="363">
        <f t="shared" si="13"/>
        <v>1.2628239247732657E-3</v>
      </c>
    </row>
    <row r="439" spans="2:14" ht="14.25" thickTop="1" thickBot="1">
      <c r="B439" s="250">
        <v>60504</v>
      </c>
      <c r="C439" s="272" t="s">
        <v>1017</v>
      </c>
      <c r="D439" s="413">
        <v>1</v>
      </c>
      <c r="E439" s="413">
        <v>7</v>
      </c>
      <c r="F439" s="413">
        <v>4</v>
      </c>
      <c r="G439" s="413">
        <v>2</v>
      </c>
      <c r="H439" s="413">
        <v>15</v>
      </c>
      <c r="I439" s="413">
        <v>21</v>
      </c>
      <c r="J439" s="413">
        <v>18</v>
      </c>
      <c r="K439" s="413">
        <v>24</v>
      </c>
      <c r="L439" s="413">
        <v>20</v>
      </c>
      <c r="M439" s="413">
        <f t="shared" si="12"/>
        <v>112</v>
      </c>
      <c r="N439" s="363">
        <f t="shared" si="13"/>
        <v>1.1688948725174029E-3</v>
      </c>
    </row>
    <row r="440" spans="2:14" ht="14.25" thickTop="1" thickBot="1">
      <c r="B440" s="250">
        <v>60505</v>
      </c>
      <c r="C440" s="272" t="s">
        <v>1018</v>
      </c>
      <c r="D440" s="413">
        <v>9</v>
      </c>
      <c r="E440" s="413">
        <v>12</v>
      </c>
      <c r="F440" s="413">
        <v>14</v>
      </c>
      <c r="G440" s="413">
        <v>32</v>
      </c>
      <c r="H440" s="413">
        <v>24</v>
      </c>
      <c r="I440" s="413">
        <v>39</v>
      </c>
      <c r="J440" s="413">
        <v>49</v>
      </c>
      <c r="K440" s="413">
        <v>34</v>
      </c>
      <c r="L440" s="413">
        <v>48</v>
      </c>
      <c r="M440" s="413">
        <f t="shared" si="12"/>
        <v>261</v>
      </c>
      <c r="N440" s="363">
        <f t="shared" si="13"/>
        <v>2.7239425154200196E-3</v>
      </c>
    </row>
    <row r="441" spans="2:14" ht="14.25" thickTop="1" thickBot="1">
      <c r="B441" s="250">
        <v>60506</v>
      </c>
      <c r="C441" s="272" t="s">
        <v>1019</v>
      </c>
      <c r="D441" s="413" t="s">
        <v>156</v>
      </c>
      <c r="E441" s="413" t="s">
        <v>156</v>
      </c>
      <c r="F441" s="413" t="s">
        <v>156</v>
      </c>
      <c r="G441" s="413" t="s">
        <v>156</v>
      </c>
      <c r="H441" s="413" t="s">
        <v>156</v>
      </c>
      <c r="I441" s="413" t="s">
        <v>156</v>
      </c>
      <c r="J441" s="413" t="s">
        <v>156</v>
      </c>
      <c r="K441" s="413" t="s">
        <v>156</v>
      </c>
      <c r="L441" s="413" t="s">
        <v>156</v>
      </c>
      <c r="M441" s="413">
        <f t="shared" si="12"/>
        <v>0</v>
      </c>
      <c r="N441" s="363">
        <f t="shared" si="13"/>
        <v>0</v>
      </c>
    </row>
    <row r="442" spans="2:14" ht="14.25" thickTop="1" thickBot="1">
      <c r="B442" s="250">
        <v>60601</v>
      </c>
      <c r="C442" s="272" t="s">
        <v>1020</v>
      </c>
      <c r="D442" s="413">
        <v>3</v>
      </c>
      <c r="E442" s="413">
        <v>6</v>
      </c>
      <c r="F442" s="413">
        <v>14</v>
      </c>
      <c r="G442" s="413">
        <v>11</v>
      </c>
      <c r="H442" s="413">
        <v>18</v>
      </c>
      <c r="I442" s="413">
        <v>18</v>
      </c>
      <c r="J442" s="413">
        <v>43</v>
      </c>
      <c r="K442" s="413">
        <v>72</v>
      </c>
      <c r="L442" s="413">
        <v>182</v>
      </c>
      <c r="M442" s="413">
        <f t="shared" si="12"/>
        <v>367</v>
      </c>
      <c r="N442" s="363">
        <f t="shared" si="13"/>
        <v>3.8302180197668473E-3</v>
      </c>
    </row>
    <row r="443" spans="2:14" ht="14.25" thickTop="1" thickBot="1">
      <c r="B443" s="250">
        <v>60602</v>
      </c>
      <c r="C443" s="272" t="s">
        <v>1021</v>
      </c>
      <c r="D443" s="413">
        <v>1</v>
      </c>
      <c r="E443" s="413">
        <v>3</v>
      </c>
      <c r="F443" s="413">
        <v>5</v>
      </c>
      <c r="G443" s="413">
        <v>12</v>
      </c>
      <c r="H443" s="413">
        <v>19</v>
      </c>
      <c r="I443" s="413">
        <v>31</v>
      </c>
      <c r="J443" s="413">
        <v>15</v>
      </c>
      <c r="K443" s="413">
        <v>30</v>
      </c>
      <c r="L443" s="413">
        <v>15</v>
      </c>
      <c r="M443" s="413">
        <f t="shared" si="12"/>
        <v>131</v>
      </c>
      <c r="N443" s="363">
        <f t="shared" si="13"/>
        <v>1.3671895383908909E-3</v>
      </c>
    </row>
    <row r="444" spans="2:14" ht="14.25" thickTop="1" thickBot="1">
      <c r="B444" s="250">
        <v>60603</v>
      </c>
      <c r="C444" s="272" t="s">
        <v>1022</v>
      </c>
      <c r="D444" s="413" t="s">
        <v>156</v>
      </c>
      <c r="E444" s="413">
        <v>2</v>
      </c>
      <c r="F444" s="413">
        <v>3</v>
      </c>
      <c r="G444" s="413">
        <v>1</v>
      </c>
      <c r="H444" s="413">
        <v>5</v>
      </c>
      <c r="I444" s="413">
        <v>11</v>
      </c>
      <c r="J444" s="413">
        <v>8</v>
      </c>
      <c r="K444" s="413">
        <v>6</v>
      </c>
      <c r="L444" s="413">
        <v>12</v>
      </c>
      <c r="M444" s="413">
        <f t="shared" si="12"/>
        <v>48</v>
      </c>
      <c r="N444" s="363">
        <f t="shared" si="13"/>
        <v>5.0095494536460123E-4</v>
      </c>
    </row>
    <row r="445" spans="2:14" ht="14.25" thickTop="1" thickBot="1">
      <c r="B445" s="250">
        <v>60701</v>
      </c>
      <c r="C445" s="272" t="s">
        <v>83</v>
      </c>
      <c r="D445" s="413">
        <v>16</v>
      </c>
      <c r="E445" s="413">
        <v>14</v>
      </c>
      <c r="F445" s="413">
        <v>5</v>
      </c>
      <c r="G445" s="413">
        <v>9</v>
      </c>
      <c r="H445" s="413">
        <v>23</v>
      </c>
      <c r="I445" s="413">
        <v>27</v>
      </c>
      <c r="J445" s="413">
        <v>37</v>
      </c>
      <c r="K445" s="413">
        <v>41</v>
      </c>
      <c r="L445" s="413">
        <v>84</v>
      </c>
      <c r="M445" s="413">
        <f t="shared" si="12"/>
        <v>256</v>
      </c>
      <c r="N445" s="363">
        <f t="shared" si="13"/>
        <v>2.6717597086112067E-3</v>
      </c>
    </row>
    <row r="446" spans="2:14" ht="14.25" thickTop="1" thickBot="1">
      <c r="B446" s="250">
        <v>60702</v>
      </c>
      <c r="C446" s="272" t="s">
        <v>1023</v>
      </c>
      <c r="D446" s="413">
        <v>120</v>
      </c>
      <c r="E446" s="413">
        <v>79</v>
      </c>
      <c r="F446" s="413">
        <v>20</v>
      </c>
      <c r="G446" s="413">
        <v>65</v>
      </c>
      <c r="H446" s="413">
        <v>33</v>
      </c>
      <c r="I446" s="413">
        <v>76</v>
      </c>
      <c r="J446" s="413">
        <v>89</v>
      </c>
      <c r="K446" s="413">
        <v>77</v>
      </c>
      <c r="L446" s="413">
        <v>94</v>
      </c>
      <c r="M446" s="413">
        <f t="shared" si="12"/>
        <v>653</v>
      </c>
      <c r="N446" s="363">
        <f t="shared" si="13"/>
        <v>6.8150745692309297E-3</v>
      </c>
    </row>
    <row r="447" spans="2:14" ht="14.25" thickTop="1" thickBot="1">
      <c r="B447" s="250">
        <v>60703</v>
      </c>
      <c r="C447" s="272" t="s">
        <v>1024</v>
      </c>
      <c r="D447" s="413">
        <v>23</v>
      </c>
      <c r="E447" s="413">
        <v>23</v>
      </c>
      <c r="F447" s="413">
        <v>106</v>
      </c>
      <c r="G447" s="413">
        <v>99</v>
      </c>
      <c r="H447" s="413">
        <v>54</v>
      </c>
      <c r="I447" s="413">
        <v>71</v>
      </c>
      <c r="J447" s="413">
        <v>92</v>
      </c>
      <c r="K447" s="413">
        <v>76</v>
      </c>
      <c r="L447" s="413">
        <v>92</v>
      </c>
      <c r="M447" s="413">
        <f t="shared" si="12"/>
        <v>636</v>
      </c>
      <c r="N447" s="363">
        <f t="shared" si="13"/>
        <v>6.6376530260809667E-3</v>
      </c>
    </row>
    <row r="448" spans="2:14" ht="14.25" thickTop="1" thickBot="1">
      <c r="B448" s="250">
        <v>60704</v>
      </c>
      <c r="C448" s="272" t="s">
        <v>1025</v>
      </c>
      <c r="D448" s="413">
        <v>23</v>
      </c>
      <c r="E448" s="413">
        <v>2</v>
      </c>
      <c r="F448" s="413">
        <v>19</v>
      </c>
      <c r="G448" s="413">
        <v>19</v>
      </c>
      <c r="H448" s="413">
        <v>54</v>
      </c>
      <c r="I448" s="413">
        <v>12</v>
      </c>
      <c r="J448" s="413">
        <v>26</v>
      </c>
      <c r="K448" s="413">
        <v>20</v>
      </c>
      <c r="L448" s="413">
        <v>35</v>
      </c>
      <c r="M448" s="413">
        <f t="shared" si="12"/>
        <v>210</v>
      </c>
      <c r="N448" s="363">
        <f t="shared" si="13"/>
        <v>2.1916778859701305E-3</v>
      </c>
    </row>
    <row r="449" spans="2:14" ht="14.25" thickTop="1" thickBot="1">
      <c r="B449" s="250">
        <v>60801</v>
      </c>
      <c r="C449" s="272" t="s">
        <v>1026</v>
      </c>
      <c r="D449" s="413">
        <v>100</v>
      </c>
      <c r="E449" s="413">
        <v>83</v>
      </c>
      <c r="F449" s="413">
        <v>80</v>
      </c>
      <c r="G449" s="413">
        <v>122</v>
      </c>
      <c r="H449" s="413">
        <v>145</v>
      </c>
      <c r="I449" s="413">
        <v>171</v>
      </c>
      <c r="J449" s="413">
        <v>129</v>
      </c>
      <c r="K449" s="413">
        <v>77</v>
      </c>
      <c r="L449" s="413">
        <v>174</v>
      </c>
      <c r="M449" s="413">
        <f t="shared" si="12"/>
        <v>1081</v>
      </c>
      <c r="N449" s="363">
        <f t="shared" si="13"/>
        <v>1.1281922832065291E-2</v>
      </c>
    </row>
    <row r="450" spans="2:14" ht="14.25" thickTop="1" thickBot="1">
      <c r="B450" s="250">
        <v>60802</v>
      </c>
      <c r="C450" s="272" t="s">
        <v>1027</v>
      </c>
      <c r="D450" s="413">
        <v>54</v>
      </c>
      <c r="E450" s="413">
        <v>61</v>
      </c>
      <c r="F450" s="413">
        <v>57</v>
      </c>
      <c r="G450" s="413">
        <v>67</v>
      </c>
      <c r="H450" s="413">
        <v>107</v>
      </c>
      <c r="I450" s="413">
        <v>87</v>
      </c>
      <c r="J450" s="413">
        <v>78</v>
      </c>
      <c r="K450" s="413">
        <v>94</v>
      </c>
      <c r="L450" s="413">
        <v>107</v>
      </c>
      <c r="M450" s="413">
        <f t="shared" si="12"/>
        <v>712</v>
      </c>
      <c r="N450" s="363">
        <f t="shared" si="13"/>
        <v>7.4308316895749186E-3</v>
      </c>
    </row>
    <row r="451" spans="2:14" ht="14.25" thickTop="1" thickBot="1">
      <c r="B451" s="250">
        <v>60803</v>
      </c>
      <c r="C451" s="272" t="s">
        <v>1028</v>
      </c>
      <c r="D451" s="413">
        <v>32</v>
      </c>
      <c r="E451" s="413">
        <v>30</v>
      </c>
      <c r="F451" s="413">
        <v>35</v>
      </c>
      <c r="G451" s="413">
        <v>40</v>
      </c>
      <c r="H451" s="413">
        <v>54</v>
      </c>
      <c r="I451" s="413">
        <v>58</v>
      </c>
      <c r="J451" s="413">
        <v>57</v>
      </c>
      <c r="K451" s="413">
        <v>51</v>
      </c>
      <c r="L451" s="413">
        <v>67</v>
      </c>
      <c r="M451" s="413">
        <f t="shared" si="12"/>
        <v>424</v>
      </c>
      <c r="N451" s="363">
        <f t="shared" si="13"/>
        <v>4.4251020173873114E-3</v>
      </c>
    </row>
    <row r="452" spans="2:14" ht="14.25" thickTop="1" thickBot="1">
      <c r="B452" s="250">
        <v>60804</v>
      </c>
      <c r="C452" s="272" t="s">
        <v>1029</v>
      </c>
      <c r="D452" s="413">
        <v>64</v>
      </c>
      <c r="E452" s="413">
        <v>43</v>
      </c>
      <c r="F452" s="413">
        <v>38</v>
      </c>
      <c r="G452" s="413">
        <v>41</v>
      </c>
      <c r="H452" s="413">
        <v>48</v>
      </c>
      <c r="I452" s="413">
        <v>56</v>
      </c>
      <c r="J452" s="413">
        <v>31</v>
      </c>
      <c r="K452" s="413">
        <v>38</v>
      </c>
      <c r="L452" s="413">
        <v>36</v>
      </c>
      <c r="M452" s="413">
        <f t="shared" si="12"/>
        <v>395</v>
      </c>
      <c r="N452" s="363">
        <f t="shared" si="13"/>
        <v>4.1224417378961983E-3</v>
      </c>
    </row>
    <row r="453" spans="2:14" ht="14.25" thickTop="1" thickBot="1">
      <c r="B453" s="250">
        <v>60805</v>
      </c>
      <c r="C453" s="272" t="s">
        <v>1030</v>
      </c>
      <c r="D453" s="413">
        <v>17</v>
      </c>
      <c r="E453" s="413">
        <v>22</v>
      </c>
      <c r="F453" s="413">
        <v>12</v>
      </c>
      <c r="G453" s="413">
        <v>29</v>
      </c>
      <c r="H453" s="413">
        <v>25</v>
      </c>
      <c r="I453" s="413">
        <v>34</v>
      </c>
      <c r="J453" s="413">
        <v>27</v>
      </c>
      <c r="K453" s="413">
        <v>24</v>
      </c>
      <c r="L453" s="413">
        <v>22</v>
      </c>
      <c r="M453" s="413">
        <f t="shared" si="12"/>
        <v>212</v>
      </c>
      <c r="N453" s="363">
        <f t="shared" si="13"/>
        <v>2.2125510086936557E-3</v>
      </c>
    </row>
    <row r="454" spans="2:14" ht="14.25" thickTop="1" thickBot="1">
      <c r="B454" s="250">
        <v>60806</v>
      </c>
      <c r="C454" s="272" t="s">
        <v>1031</v>
      </c>
      <c r="D454" s="413" t="s">
        <v>156</v>
      </c>
      <c r="E454" s="413" t="s">
        <v>156</v>
      </c>
      <c r="F454" s="413" t="s">
        <v>156</v>
      </c>
      <c r="G454" s="413" t="s">
        <v>156</v>
      </c>
      <c r="H454" s="413" t="s">
        <v>156</v>
      </c>
      <c r="I454" s="413" t="s">
        <v>156</v>
      </c>
      <c r="J454" s="413" t="s">
        <v>156</v>
      </c>
      <c r="K454" s="413">
        <v>10</v>
      </c>
      <c r="L454" s="413">
        <v>33</v>
      </c>
      <c r="M454" s="413">
        <f t="shared" ref="M454:M491" si="14">SUM(D454:L454)</f>
        <v>43</v>
      </c>
      <c r="N454" s="363">
        <f t="shared" si="13"/>
        <v>4.4877213855578865E-4</v>
      </c>
    </row>
    <row r="455" spans="2:14" ht="14.25" thickTop="1" thickBot="1">
      <c r="B455" s="250">
        <v>60901</v>
      </c>
      <c r="C455" s="272" t="s">
        <v>85</v>
      </c>
      <c r="D455" s="413">
        <v>84</v>
      </c>
      <c r="E455" s="413">
        <v>104</v>
      </c>
      <c r="F455" s="413">
        <v>57</v>
      </c>
      <c r="G455" s="413">
        <v>35</v>
      </c>
      <c r="H455" s="413">
        <v>75</v>
      </c>
      <c r="I455" s="413">
        <v>55</v>
      </c>
      <c r="J455" s="413">
        <v>67</v>
      </c>
      <c r="K455" s="413">
        <v>62</v>
      </c>
      <c r="L455" s="413">
        <v>40</v>
      </c>
      <c r="M455" s="413">
        <f t="shared" si="14"/>
        <v>579</v>
      </c>
      <c r="N455" s="363">
        <f t="shared" ref="N455:N490" si="15">+M455/$M$491</f>
        <v>6.042769028460503E-3</v>
      </c>
    </row>
    <row r="456" spans="2:14" ht="14.25" thickTop="1" thickBot="1">
      <c r="B456" s="250">
        <v>61001</v>
      </c>
      <c r="C456" s="272" t="s">
        <v>1032</v>
      </c>
      <c r="D456" s="413">
        <v>50</v>
      </c>
      <c r="E456" s="413">
        <v>32</v>
      </c>
      <c r="F456" s="413">
        <v>17</v>
      </c>
      <c r="G456" s="413">
        <v>56</v>
      </c>
      <c r="H456" s="413">
        <v>26</v>
      </c>
      <c r="I456" s="413">
        <v>86</v>
      </c>
      <c r="J456" s="413">
        <v>73</v>
      </c>
      <c r="K456" s="413">
        <v>41</v>
      </c>
      <c r="L456" s="413">
        <v>65</v>
      </c>
      <c r="M456" s="413">
        <f t="shared" si="14"/>
        <v>446</v>
      </c>
      <c r="N456" s="363">
        <f t="shared" si="15"/>
        <v>4.6547063673460865E-3</v>
      </c>
    </row>
    <row r="457" spans="2:14" ht="14.25" thickTop="1" thickBot="1">
      <c r="B457" s="250">
        <v>61002</v>
      </c>
      <c r="C457" s="272" t="s">
        <v>1033</v>
      </c>
      <c r="D457" s="413">
        <v>43</v>
      </c>
      <c r="E457" s="413">
        <v>18</v>
      </c>
      <c r="F457" s="413">
        <v>18</v>
      </c>
      <c r="G457" s="413">
        <v>28</v>
      </c>
      <c r="H457" s="413">
        <v>13</v>
      </c>
      <c r="I457" s="413">
        <v>27</v>
      </c>
      <c r="J457" s="413">
        <v>19</v>
      </c>
      <c r="K457" s="413">
        <v>11</v>
      </c>
      <c r="L457" s="413">
        <v>28</v>
      </c>
      <c r="M457" s="413">
        <f t="shared" si="14"/>
        <v>205</v>
      </c>
      <c r="N457" s="363">
        <f t="shared" si="15"/>
        <v>2.1394950791613181E-3</v>
      </c>
    </row>
    <row r="458" spans="2:14" ht="14.25" thickTop="1" thickBot="1">
      <c r="B458" s="250">
        <v>61003</v>
      </c>
      <c r="C458" s="272" t="s">
        <v>1034</v>
      </c>
      <c r="D458" s="413">
        <v>44</v>
      </c>
      <c r="E458" s="413">
        <v>40</v>
      </c>
      <c r="F458" s="413">
        <v>46</v>
      </c>
      <c r="G458" s="413">
        <v>50</v>
      </c>
      <c r="H458" s="413">
        <v>64</v>
      </c>
      <c r="I458" s="413">
        <v>40</v>
      </c>
      <c r="J458" s="413">
        <v>45</v>
      </c>
      <c r="K458" s="413">
        <v>29</v>
      </c>
      <c r="L458" s="413">
        <v>55</v>
      </c>
      <c r="M458" s="413">
        <f t="shared" si="14"/>
        <v>413</v>
      </c>
      <c r="N458" s="363">
        <f t="shared" si="15"/>
        <v>4.310299842407923E-3</v>
      </c>
    </row>
    <row r="459" spans="2:14" ht="14.25" thickTop="1" thickBot="1">
      <c r="B459" s="250">
        <v>61004</v>
      </c>
      <c r="C459" s="272" t="s">
        <v>1035</v>
      </c>
      <c r="D459" s="413">
        <v>18</v>
      </c>
      <c r="E459" s="413">
        <v>129</v>
      </c>
      <c r="F459" s="413">
        <v>56</v>
      </c>
      <c r="G459" s="413">
        <v>58</v>
      </c>
      <c r="H459" s="413">
        <v>52</v>
      </c>
      <c r="I459" s="413">
        <v>78</v>
      </c>
      <c r="J459" s="413">
        <v>129</v>
      </c>
      <c r="K459" s="413">
        <v>123</v>
      </c>
      <c r="L459" s="413">
        <v>81</v>
      </c>
      <c r="M459" s="413">
        <f t="shared" si="14"/>
        <v>724</v>
      </c>
      <c r="N459" s="363">
        <f t="shared" si="15"/>
        <v>7.5560704259160696E-3</v>
      </c>
    </row>
    <row r="460" spans="2:14" ht="14.25" thickTop="1" thickBot="1">
      <c r="B460" s="250">
        <v>61101</v>
      </c>
      <c r="C460" s="272" t="s">
        <v>1036</v>
      </c>
      <c r="D460" s="413" t="s">
        <v>156</v>
      </c>
      <c r="E460" s="413">
        <v>2</v>
      </c>
      <c r="F460" s="413">
        <v>5</v>
      </c>
      <c r="G460" s="413">
        <v>5</v>
      </c>
      <c r="H460" s="413">
        <v>3</v>
      </c>
      <c r="I460" s="413">
        <v>4</v>
      </c>
      <c r="J460" s="413">
        <v>7</v>
      </c>
      <c r="K460" s="413">
        <v>14</v>
      </c>
      <c r="L460" s="413">
        <v>66</v>
      </c>
      <c r="M460" s="413">
        <f t="shared" si="14"/>
        <v>106</v>
      </c>
      <c r="N460" s="363">
        <f t="shared" si="15"/>
        <v>1.1062755043468279E-3</v>
      </c>
    </row>
    <row r="461" spans="2:14" ht="14.25" thickTop="1" thickBot="1">
      <c r="B461" s="250">
        <v>61102</v>
      </c>
      <c r="C461" s="272" t="s">
        <v>1037</v>
      </c>
      <c r="D461" s="413">
        <v>4</v>
      </c>
      <c r="E461" s="413">
        <v>5</v>
      </c>
      <c r="F461" s="413">
        <v>1</v>
      </c>
      <c r="G461" s="413">
        <v>3</v>
      </c>
      <c r="H461" s="413">
        <v>6</v>
      </c>
      <c r="I461" s="413">
        <v>20</v>
      </c>
      <c r="J461" s="413">
        <v>12</v>
      </c>
      <c r="K461" s="413">
        <v>12</v>
      </c>
      <c r="L461" s="413">
        <v>11</v>
      </c>
      <c r="M461" s="413">
        <f t="shared" si="14"/>
        <v>74</v>
      </c>
      <c r="N461" s="363">
        <f t="shared" si="15"/>
        <v>7.7230554077042696E-4</v>
      </c>
    </row>
    <row r="462" spans="2:14" ht="14.25" thickTop="1" thickBot="1">
      <c r="B462" s="250">
        <v>70101</v>
      </c>
      <c r="C462" s="272" t="s">
        <v>88</v>
      </c>
      <c r="D462" s="413">
        <v>86</v>
      </c>
      <c r="E462" s="413">
        <v>60</v>
      </c>
      <c r="F462" s="413">
        <v>51</v>
      </c>
      <c r="G462" s="413">
        <v>46</v>
      </c>
      <c r="H462" s="413">
        <v>39</v>
      </c>
      <c r="I462" s="413">
        <v>52</v>
      </c>
      <c r="J462" s="413">
        <v>58</v>
      </c>
      <c r="K462" s="413">
        <v>59</v>
      </c>
      <c r="L462" s="413">
        <v>90</v>
      </c>
      <c r="M462" s="413">
        <f t="shared" si="14"/>
        <v>541</v>
      </c>
      <c r="N462" s="363">
        <f t="shared" si="15"/>
        <v>5.6461796967135266E-3</v>
      </c>
    </row>
    <row r="463" spans="2:14" ht="14.25" thickTop="1" thickBot="1">
      <c r="B463" s="250">
        <v>70102</v>
      </c>
      <c r="C463" s="272" t="s">
        <v>1038</v>
      </c>
      <c r="D463" s="413">
        <v>232</v>
      </c>
      <c r="E463" s="413">
        <v>131</v>
      </c>
      <c r="F463" s="413">
        <v>137</v>
      </c>
      <c r="G463" s="413">
        <v>40</v>
      </c>
      <c r="H463" s="413">
        <v>10</v>
      </c>
      <c r="I463" s="413">
        <v>8</v>
      </c>
      <c r="J463" s="413">
        <v>15</v>
      </c>
      <c r="K463" s="413">
        <v>149</v>
      </c>
      <c r="L463" s="413">
        <v>221</v>
      </c>
      <c r="M463" s="413">
        <f t="shared" si="14"/>
        <v>943</v>
      </c>
      <c r="N463" s="363">
        <f t="shared" si="15"/>
        <v>9.8416773641420621E-3</v>
      </c>
    </row>
    <row r="464" spans="2:14" ht="14.25" thickTop="1" thickBot="1">
      <c r="B464" s="250">
        <v>70103</v>
      </c>
      <c r="C464" s="272" t="s">
        <v>1039</v>
      </c>
      <c r="D464" s="413">
        <v>3</v>
      </c>
      <c r="E464" s="413">
        <v>4</v>
      </c>
      <c r="F464" s="413">
        <v>9</v>
      </c>
      <c r="G464" s="413">
        <v>4</v>
      </c>
      <c r="H464" s="413">
        <v>13</v>
      </c>
      <c r="I464" s="413">
        <v>19</v>
      </c>
      <c r="J464" s="413">
        <v>16</v>
      </c>
      <c r="K464" s="413">
        <v>12</v>
      </c>
      <c r="L464" s="413">
        <v>15</v>
      </c>
      <c r="M464" s="413">
        <f t="shared" si="14"/>
        <v>95</v>
      </c>
      <c r="N464" s="363">
        <f t="shared" si="15"/>
        <v>9.914733293674401E-4</v>
      </c>
    </row>
    <row r="465" spans="2:14" ht="14.25" thickTop="1" thickBot="1">
      <c r="B465" s="250">
        <v>70104</v>
      </c>
      <c r="C465" s="272" t="s">
        <v>1040</v>
      </c>
      <c r="D465" s="413">
        <v>12</v>
      </c>
      <c r="E465" s="413">
        <v>15</v>
      </c>
      <c r="F465" s="413">
        <v>23</v>
      </c>
      <c r="G465" s="413">
        <v>13</v>
      </c>
      <c r="H465" s="413">
        <v>27</v>
      </c>
      <c r="I465" s="413">
        <v>19</v>
      </c>
      <c r="J465" s="413">
        <v>29</v>
      </c>
      <c r="K465" s="413">
        <v>44</v>
      </c>
      <c r="L465" s="413">
        <v>35</v>
      </c>
      <c r="M465" s="413">
        <f t="shared" si="14"/>
        <v>217</v>
      </c>
      <c r="N465" s="363">
        <f t="shared" si="15"/>
        <v>2.2647338155024682E-3</v>
      </c>
    </row>
    <row r="466" spans="2:14" ht="14.25" thickTop="1" thickBot="1">
      <c r="B466" s="250">
        <v>70201</v>
      </c>
      <c r="C466" s="272" t="s">
        <v>1041</v>
      </c>
      <c r="D466" s="413">
        <v>164</v>
      </c>
      <c r="E466" s="413">
        <v>290</v>
      </c>
      <c r="F466" s="413">
        <v>139</v>
      </c>
      <c r="G466" s="413">
        <v>154</v>
      </c>
      <c r="H466" s="413">
        <v>146</v>
      </c>
      <c r="I466" s="413">
        <v>120</v>
      </c>
      <c r="J466" s="413">
        <v>140</v>
      </c>
      <c r="K466" s="413">
        <v>110</v>
      </c>
      <c r="L466" s="413">
        <v>101</v>
      </c>
      <c r="M466" s="413">
        <f t="shared" si="14"/>
        <v>1364</v>
      </c>
      <c r="N466" s="363">
        <f t="shared" si="15"/>
        <v>1.4235469697444086E-2</v>
      </c>
    </row>
    <row r="467" spans="2:14" ht="14.25" thickTop="1" thickBot="1">
      <c r="B467" s="250">
        <v>70202</v>
      </c>
      <c r="C467" s="272" t="s">
        <v>58</v>
      </c>
      <c r="D467" s="413">
        <v>35</v>
      </c>
      <c r="E467" s="413">
        <v>58</v>
      </c>
      <c r="F467" s="413">
        <v>38</v>
      </c>
      <c r="G467" s="413">
        <v>45</v>
      </c>
      <c r="H467" s="413">
        <v>55</v>
      </c>
      <c r="I467" s="413">
        <v>56</v>
      </c>
      <c r="J467" s="413">
        <v>180</v>
      </c>
      <c r="K467" s="413">
        <v>78</v>
      </c>
      <c r="L467" s="413">
        <v>78</v>
      </c>
      <c r="M467" s="413">
        <f t="shared" si="14"/>
        <v>623</v>
      </c>
      <c r="N467" s="363">
        <f t="shared" si="15"/>
        <v>6.501977728378054E-3</v>
      </c>
    </row>
    <row r="468" spans="2:14" ht="14.25" thickTop="1" thickBot="1">
      <c r="B468" s="250">
        <v>70203</v>
      </c>
      <c r="C468" s="272" t="s">
        <v>1042</v>
      </c>
      <c r="D468" s="413">
        <v>169</v>
      </c>
      <c r="E468" s="413">
        <v>211</v>
      </c>
      <c r="F468" s="413">
        <v>260</v>
      </c>
      <c r="G468" s="413">
        <v>253</v>
      </c>
      <c r="H468" s="413">
        <v>225</v>
      </c>
      <c r="I468" s="413">
        <v>205</v>
      </c>
      <c r="J468" s="413">
        <v>275</v>
      </c>
      <c r="K468" s="413">
        <v>245</v>
      </c>
      <c r="L468" s="413">
        <v>206</v>
      </c>
      <c r="M468" s="413">
        <f t="shared" si="14"/>
        <v>2049</v>
      </c>
      <c r="N468" s="363">
        <f t="shared" si="15"/>
        <v>2.1384514230251415E-2</v>
      </c>
    </row>
    <row r="469" spans="2:14" ht="14.25" thickTop="1" thickBot="1">
      <c r="B469" s="250">
        <v>70204</v>
      </c>
      <c r="C469" s="272" t="s">
        <v>1043</v>
      </c>
      <c r="D469" s="413">
        <v>77</v>
      </c>
      <c r="E469" s="413">
        <v>77</v>
      </c>
      <c r="F469" s="413">
        <v>74</v>
      </c>
      <c r="G469" s="413">
        <v>75</v>
      </c>
      <c r="H469" s="413">
        <v>91</v>
      </c>
      <c r="I469" s="413">
        <v>130</v>
      </c>
      <c r="J469" s="413">
        <v>109</v>
      </c>
      <c r="K469" s="413">
        <v>134</v>
      </c>
      <c r="L469" s="413">
        <v>88</v>
      </c>
      <c r="M469" s="413">
        <f t="shared" si="14"/>
        <v>855</v>
      </c>
      <c r="N469" s="363">
        <f t="shared" si="15"/>
        <v>8.92325996430696E-3</v>
      </c>
    </row>
    <row r="470" spans="2:14" ht="14.25" thickTop="1" thickBot="1">
      <c r="B470" s="250">
        <v>70205</v>
      </c>
      <c r="C470" s="272" t="s">
        <v>1044</v>
      </c>
      <c r="D470" s="413">
        <v>430</v>
      </c>
      <c r="E470" s="413">
        <v>424</v>
      </c>
      <c r="F470" s="413">
        <v>237</v>
      </c>
      <c r="G470" s="413">
        <v>321</v>
      </c>
      <c r="H470" s="413">
        <v>281</v>
      </c>
      <c r="I470" s="413">
        <v>271</v>
      </c>
      <c r="J470" s="413">
        <v>367</v>
      </c>
      <c r="K470" s="413">
        <v>312</v>
      </c>
      <c r="L470" s="413">
        <v>268</v>
      </c>
      <c r="M470" s="413">
        <f t="shared" si="14"/>
        <v>2911</v>
      </c>
      <c r="N470" s="363">
        <f t="shared" si="15"/>
        <v>3.0380830124090714E-2</v>
      </c>
    </row>
    <row r="471" spans="2:14" ht="14.25" thickTop="1" thickBot="1">
      <c r="B471" s="250">
        <v>70206</v>
      </c>
      <c r="C471" s="272" t="s">
        <v>969</v>
      </c>
      <c r="D471" s="413" t="s">
        <v>156</v>
      </c>
      <c r="E471" s="413">
        <v>2</v>
      </c>
      <c r="F471" s="413" t="s">
        <v>156</v>
      </c>
      <c r="G471" s="413" t="s">
        <v>156</v>
      </c>
      <c r="H471" s="413" t="s">
        <v>156</v>
      </c>
      <c r="I471" s="413">
        <v>1</v>
      </c>
      <c r="J471" s="413">
        <v>3</v>
      </c>
      <c r="K471" s="413">
        <v>3</v>
      </c>
      <c r="L471" s="413">
        <v>3</v>
      </c>
      <c r="M471" s="413">
        <f t="shared" si="14"/>
        <v>12</v>
      </c>
      <c r="N471" s="363">
        <f t="shared" si="15"/>
        <v>1.2523873634115031E-4</v>
      </c>
    </row>
    <row r="472" spans="2:14" ht="14.25" thickTop="1" thickBot="1">
      <c r="B472" s="250">
        <v>70207</v>
      </c>
      <c r="C472" s="272" t="s">
        <v>1045</v>
      </c>
      <c r="D472" s="413" t="s">
        <v>156</v>
      </c>
      <c r="E472" s="413" t="s">
        <v>156</v>
      </c>
      <c r="F472" s="413" t="s">
        <v>156</v>
      </c>
      <c r="G472" s="413">
        <v>2</v>
      </c>
      <c r="H472" s="413">
        <v>8</v>
      </c>
      <c r="I472" s="413">
        <v>41</v>
      </c>
      <c r="J472" s="413">
        <v>43</v>
      </c>
      <c r="K472" s="413">
        <v>27</v>
      </c>
      <c r="L472" s="413">
        <v>38</v>
      </c>
      <c r="M472" s="413">
        <f t="shared" si="14"/>
        <v>159</v>
      </c>
      <c r="N472" s="363">
        <f t="shared" si="15"/>
        <v>1.6594132565202417E-3</v>
      </c>
    </row>
    <row r="473" spans="2:14" ht="14.25" thickTop="1" thickBot="1">
      <c r="B473" s="250">
        <v>70301</v>
      </c>
      <c r="C473" s="272" t="s">
        <v>90</v>
      </c>
      <c r="D473" s="413">
        <v>72</v>
      </c>
      <c r="E473" s="413">
        <v>63</v>
      </c>
      <c r="F473" s="413">
        <v>60</v>
      </c>
      <c r="G473" s="413">
        <v>80</v>
      </c>
      <c r="H473" s="413">
        <v>68</v>
      </c>
      <c r="I473" s="413">
        <v>100</v>
      </c>
      <c r="J473" s="413">
        <v>118</v>
      </c>
      <c r="K473" s="413">
        <v>175</v>
      </c>
      <c r="L473" s="413">
        <v>266</v>
      </c>
      <c r="M473" s="413">
        <f t="shared" si="14"/>
        <v>1002</v>
      </c>
      <c r="N473" s="363">
        <f t="shared" si="15"/>
        <v>1.0457434484486052E-2</v>
      </c>
    </row>
    <row r="474" spans="2:14" ht="14.25" thickTop="1" thickBot="1">
      <c r="B474" s="250">
        <v>70302</v>
      </c>
      <c r="C474" s="272" t="s">
        <v>1046</v>
      </c>
      <c r="D474" s="413">
        <v>5</v>
      </c>
      <c r="E474" s="413">
        <v>4</v>
      </c>
      <c r="F474" s="413">
        <v>15</v>
      </c>
      <c r="G474" s="413">
        <v>8</v>
      </c>
      <c r="H474" s="413">
        <v>24</v>
      </c>
      <c r="I474" s="413">
        <v>12</v>
      </c>
      <c r="J474" s="413">
        <v>7</v>
      </c>
      <c r="K474" s="413">
        <v>17</v>
      </c>
      <c r="L474" s="413">
        <v>9</v>
      </c>
      <c r="M474" s="413">
        <f t="shared" si="14"/>
        <v>101</v>
      </c>
      <c r="N474" s="363">
        <f t="shared" si="15"/>
        <v>1.0540926975380152E-3</v>
      </c>
    </row>
    <row r="475" spans="2:14" ht="14.25" thickTop="1" thickBot="1">
      <c r="B475" s="250">
        <v>70303</v>
      </c>
      <c r="C475" s="272" t="s">
        <v>1047</v>
      </c>
      <c r="D475" s="413">
        <v>8</v>
      </c>
      <c r="E475" s="413">
        <v>8</v>
      </c>
      <c r="F475" s="413">
        <v>4</v>
      </c>
      <c r="G475" s="413">
        <v>6</v>
      </c>
      <c r="H475" s="413">
        <v>8</v>
      </c>
      <c r="I475" s="413">
        <v>17</v>
      </c>
      <c r="J475" s="413">
        <v>4</v>
      </c>
      <c r="K475" s="413">
        <v>4</v>
      </c>
      <c r="L475" s="413">
        <v>8</v>
      </c>
      <c r="M475" s="413">
        <f t="shared" si="14"/>
        <v>67</v>
      </c>
      <c r="N475" s="363">
        <f t="shared" si="15"/>
        <v>6.9924961123808932E-4</v>
      </c>
    </row>
    <row r="476" spans="2:14" ht="14.25" thickTop="1" thickBot="1">
      <c r="B476" s="250">
        <v>70304</v>
      </c>
      <c r="C476" s="272" t="s">
        <v>1048</v>
      </c>
      <c r="D476" s="413">
        <v>9</v>
      </c>
      <c r="E476" s="413">
        <v>16</v>
      </c>
      <c r="F476" s="413">
        <v>6</v>
      </c>
      <c r="G476" s="413">
        <v>14</v>
      </c>
      <c r="H476" s="413">
        <v>7</v>
      </c>
      <c r="I476" s="413">
        <v>11</v>
      </c>
      <c r="J476" s="413">
        <v>13</v>
      </c>
      <c r="K476" s="413">
        <v>11</v>
      </c>
      <c r="L476" s="413">
        <v>14</v>
      </c>
      <c r="M476" s="413">
        <f t="shared" si="14"/>
        <v>101</v>
      </c>
      <c r="N476" s="363">
        <f t="shared" si="15"/>
        <v>1.0540926975380152E-3</v>
      </c>
    </row>
    <row r="477" spans="2:14" ht="14.25" thickTop="1" thickBot="1">
      <c r="B477" s="250">
        <v>70305</v>
      </c>
      <c r="C477" s="272" t="s">
        <v>1049</v>
      </c>
      <c r="D477" s="413">
        <v>15</v>
      </c>
      <c r="E477" s="413">
        <v>11</v>
      </c>
      <c r="F477" s="413">
        <v>17</v>
      </c>
      <c r="G477" s="413">
        <v>32</v>
      </c>
      <c r="H477" s="413">
        <v>29</v>
      </c>
      <c r="I477" s="413">
        <v>43</v>
      </c>
      <c r="J477" s="413">
        <v>46</v>
      </c>
      <c r="K477" s="413">
        <v>30</v>
      </c>
      <c r="L477" s="413">
        <v>42</v>
      </c>
      <c r="M477" s="413">
        <f t="shared" si="14"/>
        <v>265</v>
      </c>
      <c r="N477" s="363">
        <f t="shared" si="15"/>
        <v>2.7656887608670695E-3</v>
      </c>
    </row>
    <row r="478" spans="2:14" ht="14.25" thickTop="1" thickBot="1">
      <c r="B478" s="250">
        <v>70306</v>
      </c>
      <c r="C478" s="272" t="s">
        <v>1050</v>
      </c>
      <c r="D478" s="413">
        <v>179</v>
      </c>
      <c r="E478" s="413">
        <v>15</v>
      </c>
      <c r="F478" s="413">
        <v>27</v>
      </c>
      <c r="G478" s="413">
        <v>38</v>
      </c>
      <c r="H478" s="413">
        <v>20</v>
      </c>
      <c r="I478" s="413">
        <v>29</v>
      </c>
      <c r="J478" s="413">
        <v>29</v>
      </c>
      <c r="K478" s="413">
        <v>33</v>
      </c>
      <c r="L478" s="413">
        <v>36</v>
      </c>
      <c r="M478" s="413">
        <f t="shared" si="14"/>
        <v>406</v>
      </c>
      <c r="N478" s="363">
        <f t="shared" si="15"/>
        <v>4.2372439128755858E-3</v>
      </c>
    </row>
    <row r="479" spans="2:14" ht="14.25" thickTop="1" thickBot="1">
      <c r="B479" s="250">
        <v>70401</v>
      </c>
      <c r="C479" s="272" t="s">
        <v>1051</v>
      </c>
      <c r="D479" s="413">
        <v>151</v>
      </c>
      <c r="E479" s="413">
        <v>57</v>
      </c>
      <c r="F479" s="413">
        <v>98</v>
      </c>
      <c r="G479" s="413">
        <v>186</v>
      </c>
      <c r="H479" s="413">
        <v>34</v>
      </c>
      <c r="I479" s="413">
        <v>34</v>
      </c>
      <c r="J479" s="413">
        <v>31</v>
      </c>
      <c r="K479" s="413">
        <v>32</v>
      </c>
      <c r="L479" s="413">
        <v>52</v>
      </c>
      <c r="M479" s="413">
        <f t="shared" si="14"/>
        <v>675</v>
      </c>
      <c r="N479" s="363">
        <f t="shared" si="15"/>
        <v>7.0446789191897057E-3</v>
      </c>
    </row>
    <row r="480" spans="2:14" ht="14.25" thickTop="1" thickBot="1">
      <c r="B480" s="250">
        <v>70402</v>
      </c>
      <c r="C480" s="272" t="s">
        <v>1052</v>
      </c>
      <c r="D480" s="413" t="s">
        <v>156</v>
      </c>
      <c r="E480" s="413" t="s">
        <v>156</v>
      </c>
      <c r="F480" s="413">
        <v>74</v>
      </c>
      <c r="G480" s="413">
        <v>57</v>
      </c>
      <c r="H480" s="413">
        <v>4</v>
      </c>
      <c r="I480" s="413">
        <v>10</v>
      </c>
      <c r="J480" s="413">
        <v>6</v>
      </c>
      <c r="K480" s="413">
        <v>26</v>
      </c>
      <c r="L480" s="413">
        <v>37</v>
      </c>
      <c r="M480" s="413">
        <f t="shared" si="14"/>
        <v>214</v>
      </c>
      <c r="N480" s="363">
        <f t="shared" si="15"/>
        <v>2.2334241314171809E-3</v>
      </c>
    </row>
    <row r="481" spans="2:14" ht="14.25" thickTop="1" thickBot="1">
      <c r="B481" s="250">
        <v>70403</v>
      </c>
      <c r="C481" s="272" t="s">
        <v>1053</v>
      </c>
      <c r="D481" s="413">
        <v>12</v>
      </c>
      <c r="E481" s="413">
        <v>17</v>
      </c>
      <c r="F481" s="413">
        <v>42</v>
      </c>
      <c r="G481" s="413">
        <v>35</v>
      </c>
      <c r="H481" s="413">
        <v>9</v>
      </c>
      <c r="I481" s="413">
        <v>28</v>
      </c>
      <c r="J481" s="413">
        <v>24</v>
      </c>
      <c r="K481" s="413">
        <v>17</v>
      </c>
      <c r="L481" s="413">
        <v>18</v>
      </c>
      <c r="M481" s="413">
        <f t="shared" si="14"/>
        <v>202</v>
      </c>
      <c r="N481" s="363">
        <f t="shared" si="15"/>
        <v>2.1081853950760303E-3</v>
      </c>
    </row>
    <row r="482" spans="2:14" ht="14.25" thickTop="1" thickBot="1">
      <c r="B482" s="250">
        <v>70404</v>
      </c>
      <c r="C482" s="272" t="s">
        <v>1054</v>
      </c>
      <c r="D482" s="413">
        <v>164</v>
      </c>
      <c r="E482" s="413">
        <v>96</v>
      </c>
      <c r="F482" s="413">
        <v>84</v>
      </c>
      <c r="G482" s="413">
        <v>140</v>
      </c>
      <c r="H482" s="413">
        <v>59</v>
      </c>
      <c r="I482" s="413">
        <v>135</v>
      </c>
      <c r="J482" s="413">
        <v>124</v>
      </c>
      <c r="K482" s="413">
        <v>49</v>
      </c>
      <c r="L482" s="413" t="s">
        <v>156</v>
      </c>
      <c r="M482" s="413">
        <f t="shared" si="14"/>
        <v>851</v>
      </c>
      <c r="N482" s="363">
        <f t="shared" si="15"/>
        <v>8.8815137188599097E-3</v>
      </c>
    </row>
    <row r="483" spans="2:14" ht="14.25" thickTop="1" thickBot="1">
      <c r="B483" s="250">
        <v>70501</v>
      </c>
      <c r="C483" s="272" t="s">
        <v>92</v>
      </c>
      <c r="D483" s="413">
        <v>8</v>
      </c>
      <c r="E483" s="413">
        <v>4</v>
      </c>
      <c r="F483" s="413">
        <v>11</v>
      </c>
      <c r="G483" s="413">
        <v>19</v>
      </c>
      <c r="H483" s="413">
        <v>24</v>
      </c>
      <c r="I483" s="413">
        <v>18</v>
      </c>
      <c r="J483" s="413">
        <v>30</v>
      </c>
      <c r="K483" s="413">
        <v>25</v>
      </c>
      <c r="L483" s="413">
        <v>34</v>
      </c>
      <c r="M483" s="413">
        <f t="shared" si="14"/>
        <v>173</v>
      </c>
      <c r="N483" s="363">
        <f t="shared" si="15"/>
        <v>1.8055251155849172E-3</v>
      </c>
    </row>
    <row r="484" spans="2:14" ht="14.25" thickTop="1" thickBot="1">
      <c r="B484" s="250">
        <v>70502</v>
      </c>
      <c r="C484" s="272" t="s">
        <v>1055</v>
      </c>
      <c r="D484" s="413">
        <v>18</v>
      </c>
      <c r="E484" s="413">
        <v>27</v>
      </c>
      <c r="F484" s="413">
        <v>93</v>
      </c>
      <c r="G484" s="413">
        <v>81</v>
      </c>
      <c r="H484" s="413">
        <v>42</v>
      </c>
      <c r="I484" s="413">
        <v>93</v>
      </c>
      <c r="J484" s="413">
        <v>94</v>
      </c>
      <c r="K484" s="413">
        <v>279</v>
      </c>
      <c r="L484" s="413">
        <v>97</v>
      </c>
      <c r="M484" s="413">
        <f t="shared" si="14"/>
        <v>824</v>
      </c>
      <c r="N484" s="363">
        <f t="shared" si="15"/>
        <v>8.5997265620923226E-3</v>
      </c>
    </row>
    <row r="485" spans="2:14" ht="14.25" thickTop="1" thickBot="1">
      <c r="B485" s="250">
        <v>70503</v>
      </c>
      <c r="C485" s="272" t="s">
        <v>1056</v>
      </c>
      <c r="D485" s="413">
        <v>90</v>
      </c>
      <c r="E485" s="413">
        <v>38</v>
      </c>
      <c r="F485" s="413">
        <v>52</v>
      </c>
      <c r="G485" s="413">
        <v>49</v>
      </c>
      <c r="H485" s="413">
        <v>71</v>
      </c>
      <c r="I485" s="413">
        <v>87</v>
      </c>
      <c r="J485" s="413">
        <v>86</v>
      </c>
      <c r="K485" s="413">
        <v>85</v>
      </c>
      <c r="L485" s="413">
        <v>87</v>
      </c>
      <c r="M485" s="413">
        <f t="shared" si="14"/>
        <v>645</v>
      </c>
      <c r="N485" s="363">
        <f t="shared" si="15"/>
        <v>6.7315820783368299E-3</v>
      </c>
    </row>
    <row r="486" spans="2:14" ht="14.25" thickTop="1" thickBot="1">
      <c r="B486" s="250">
        <v>70601</v>
      </c>
      <c r="C486" s="272" t="s">
        <v>93</v>
      </c>
      <c r="D486" s="413">
        <v>178</v>
      </c>
      <c r="E486" s="413">
        <v>183</v>
      </c>
      <c r="F486" s="413">
        <v>169</v>
      </c>
      <c r="G486" s="413">
        <v>151</v>
      </c>
      <c r="H486" s="413">
        <v>122</v>
      </c>
      <c r="I486" s="413">
        <v>152</v>
      </c>
      <c r="J486" s="413">
        <v>157</v>
      </c>
      <c r="K486" s="413">
        <v>128</v>
      </c>
      <c r="L486" s="413">
        <v>119</v>
      </c>
      <c r="M486" s="413">
        <f t="shared" si="14"/>
        <v>1359</v>
      </c>
      <c r="N486" s="363">
        <f t="shared" si="15"/>
        <v>1.4183286890635274E-2</v>
      </c>
    </row>
    <row r="487" spans="2:14" ht="14.25" thickTop="1" thickBot="1">
      <c r="B487" s="250">
        <v>70602</v>
      </c>
      <c r="C487" s="272" t="s">
        <v>792</v>
      </c>
      <c r="D487" s="413">
        <v>3</v>
      </c>
      <c r="E487" s="413">
        <v>5</v>
      </c>
      <c r="F487" s="413">
        <v>3</v>
      </c>
      <c r="G487" s="413">
        <v>2</v>
      </c>
      <c r="H487" s="413">
        <v>5</v>
      </c>
      <c r="I487" s="413">
        <v>6</v>
      </c>
      <c r="J487" s="413">
        <v>15</v>
      </c>
      <c r="K487" s="413">
        <v>4</v>
      </c>
      <c r="L487" s="413">
        <v>6</v>
      </c>
      <c r="M487" s="413">
        <f t="shared" si="14"/>
        <v>49</v>
      </c>
      <c r="N487" s="363">
        <f t="shared" si="15"/>
        <v>5.1139150672636381E-4</v>
      </c>
    </row>
    <row r="488" spans="2:14" ht="14.25" thickTop="1" thickBot="1">
      <c r="B488" s="250">
        <v>70603</v>
      </c>
      <c r="C488" s="272" t="s">
        <v>1057</v>
      </c>
      <c r="D488" s="413">
        <v>23</v>
      </c>
      <c r="E488" s="413">
        <v>45</v>
      </c>
      <c r="F488" s="413">
        <v>47</v>
      </c>
      <c r="G488" s="413">
        <v>78</v>
      </c>
      <c r="H488" s="413">
        <v>62</v>
      </c>
      <c r="I488" s="413">
        <v>79</v>
      </c>
      <c r="J488" s="413">
        <v>97</v>
      </c>
      <c r="K488" s="413">
        <v>95</v>
      </c>
      <c r="L488" s="413">
        <v>79</v>
      </c>
      <c r="M488" s="413">
        <f t="shared" si="14"/>
        <v>605</v>
      </c>
      <c r="N488" s="363">
        <f t="shared" si="15"/>
        <v>6.3141196238663284E-3</v>
      </c>
    </row>
    <row r="489" spans="2:14" ht="14.25" thickTop="1" thickBot="1">
      <c r="B489" s="250">
        <v>70604</v>
      </c>
      <c r="C489" s="272" t="s">
        <v>1058</v>
      </c>
      <c r="D489" s="413">
        <v>65</v>
      </c>
      <c r="E489" s="413">
        <v>46</v>
      </c>
      <c r="F489" s="413">
        <v>53</v>
      </c>
      <c r="G489" s="413">
        <v>81</v>
      </c>
      <c r="H489" s="413">
        <v>76</v>
      </c>
      <c r="I489" s="413">
        <v>82</v>
      </c>
      <c r="J489" s="413">
        <v>89</v>
      </c>
      <c r="K489" s="413">
        <v>94</v>
      </c>
      <c r="L489" s="413">
        <v>90</v>
      </c>
      <c r="M489" s="413">
        <f t="shared" si="14"/>
        <v>676</v>
      </c>
      <c r="N489" s="363">
        <f t="shared" si="15"/>
        <v>7.0551154805514682E-3</v>
      </c>
    </row>
    <row r="490" spans="2:14" ht="14.25" thickTop="1" thickBot="1">
      <c r="B490" s="250">
        <v>70605</v>
      </c>
      <c r="C490" s="272" t="s">
        <v>1059</v>
      </c>
      <c r="D490" s="413">
        <v>58</v>
      </c>
      <c r="E490" s="413">
        <v>59</v>
      </c>
      <c r="F490" s="413">
        <v>37</v>
      </c>
      <c r="G490" s="413">
        <v>173</v>
      </c>
      <c r="H490" s="413">
        <v>55</v>
      </c>
      <c r="I490" s="413">
        <v>62</v>
      </c>
      <c r="J490" s="413">
        <v>73</v>
      </c>
      <c r="K490" s="413">
        <v>71</v>
      </c>
      <c r="L490" s="413">
        <v>67</v>
      </c>
      <c r="M490" s="413">
        <f t="shared" si="14"/>
        <v>655</v>
      </c>
      <c r="N490" s="363">
        <f t="shared" si="15"/>
        <v>6.8359476919544549E-3</v>
      </c>
    </row>
    <row r="491" spans="2:14" ht="14.25" thickTop="1" thickBot="1">
      <c r="B491" s="582" t="s">
        <v>1060</v>
      </c>
      <c r="C491" s="582"/>
      <c r="D491" s="413">
        <f t="shared" ref="D491:L491" si="16">SUM(D6:D490)</f>
        <v>10722</v>
      </c>
      <c r="E491" s="413">
        <f t="shared" si="16"/>
        <v>10461</v>
      </c>
      <c r="F491" s="413">
        <f t="shared" si="16"/>
        <v>9463</v>
      </c>
      <c r="G491" s="413">
        <f t="shared" si="16"/>
        <v>10061</v>
      </c>
      <c r="H491" s="413">
        <f t="shared" si="16"/>
        <v>9804</v>
      </c>
      <c r="I491" s="413">
        <f t="shared" si="16"/>
        <v>10867</v>
      </c>
      <c r="J491" s="413">
        <f t="shared" si="16"/>
        <v>11823</v>
      </c>
      <c r="K491" s="413">
        <f t="shared" si="16"/>
        <v>11155</v>
      </c>
      <c r="L491" s="413">
        <f t="shared" si="16"/>
        <v>11461</v>
      </c>
      <c r="M491" s="413">
        <f t="shared" si="14"/>
        <v>95817</v>
      </c>
      <c r="N491" s="363">
        <f>SUM(N6:N490)</f>
        <v>1.0000000000000002</v>
      </c>
    </row>
    <row r="492" spans="2:14" ht="15.75" thickTop="1" thickBot="1">
      <c r="B492" s="237"/>
      <c r="C492" s="307"/>
      <c r="D492" s="307"/>
      <c r="E492" s="307"/>
      <c r="F492" s="307"/>
      <c r="G492" s="307"/>
      <c r="H492" s="307"/>
      <c r="I492" s="307"/>
      <c r="J492" s="307"/>
      <c r="K492" s="307"/>
      <c r="L492" s="307"/>
      <c r="M492" s="360"/>
      <c r="N492" s="361"/>
    </row>
    <row r="493" spans="2:14" ht="13.5" thickTop="1">
      <c r="B493" s="474" t="s">
        <v>185</v>
      </c>
      <c r="C493" s="474"/>
      <c r="D493" s="474"/>
      <c r="E493" s="474"/>
      <c r="F493" s="474"/>
      <c r="G493" s="474"/>
      <c r="H493" s="474"/>
      <c r="I493" s="474"/>
      <c r="J493" s="474"/>
      <c r="K493" s="474"/>
      <c r="L493" s="474"/>
      <c r="M493" s="474"/>
      <c r="N493" s="474"/>
    </row>
    <row r="494" spans="2:14">
      <c r="N494" s="168"/>
    </row>
    <row r="495" spans="2:14">
      <c r="M495" s="29"/>
    </row>
    <row r="497" spans="14:14">
      <c r="N497" s="169"/>
    </row>
  </sheetData>
  <mergeCells count="9">
    <mergeCell ref="B3:N3"/>
    <mergeCell ref="B2:N2"/>
    <mergeCell ref="B493:N493"/>
    <mergeCell ref="B491:C491"/>
    <mergeCell ref="B4:B5"/>
    <mergeCell ref="C4:C5"/>
    <mergeCell ref="M4:M5"/>
    <mergeCell ref="N4:N5"/>
    <mergeCell ref="D4:L4"/>
  </mergeCells>
  <hyperlinks>
    <hyperlink ref="B3:N3" location="'Capitulo 4'!B43" display="Número de BFV pagados por distrito. 2005-2018              " xr:uid="{00000000-0004-0000-3B00-000000000000}"/>
  </hyperlinks>
  <printOptions horizontalCentered="1" verticalCentered="1"/>
  <pageMargins left="0.74803149606299213" right="0.74803149606299213" top="0.98425196850393704" bottom="0.98425196850393704" header="0" footer="0"/>
  <pageSetup orientation="portrait" r:id="rId1"/>
  <headerFooter alignWithMargins="0"/>
  <ignoredErrors>
    <ignoredError sqref="M49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K24"/>
  <sheetViews>
    <sheetView showGridLines="0" workbookViewId="0">
      <pane ySplit="6" topLeftCell="A16" activePane="bottomLeft" state="frozen"/>
      <selection pane="bottomLeft" activeCell="F35" sqref="F35"/>
    </sheetView>
  </sheetViews>
  <sheetFormatPr baseColWidth="10" defaultRowHeight="12.75"/>
  <cols>
    <col min="2" max="2" width="25" style="4" customWidth="1"/>
    <col min="3" max="3" width="9.42578125" style="4" bestFit="1" customWidth="1"/>
    <col min="4" max="4" width="9.5703125" style="4" customWidth="1"/>
    <col min="5" max="5" width="11.42578125" style="4"/>
    <col min="6" max="11" width="11.42578125" style="3"/>
  </cols>
  <sheetData>
    <row r="2" spans="2:11" ht="15">
      <c r="B2" s="462" t="s">
        <v>439</v>
      </c>
      <c r="C2" s="462"/>
      <c r="D2" s="462"/>
      <c r="E2" s="462"/>
      <c r="F2" s="462"/>
      <c r="G2" s="462"/>
      <c r="H2" s="462"/>
      <c r="I2"/>
      <c r="J2"/>
      <c r="K2"/>
    </row>
    <row r="3" spans="2:11" ht="37.5" customHeight="1" thickBot="1">
      <c r="B3" s="464" t="s">
        <v>1066</v>
      </c>
      <c r="C3" s="464"/>
      <c r="D3" s="464"/>
      <c r="E3" s="464"/>
      <c r="F3" s="464"/>
      <c r="G3" s="464"/>
      <c r="H3" s="464"/>
      <c r="I3"/>
      <c r="J3"/>
      <c r="K3"/>
    </row>
    <row r="4" spans="2:11" ht="16.5" customHeight="1" thickTop="1" thickBot="1">
      <c r="B4" s="471" t="s">
        <v>10</v>
      </c>
      <c r="C4" s="459" t="s">
        <v>287</v>
      </c>
      <c r="D4" s="460"/>
      <c r="E4" s="460"/>
      <c r="F4" s="460"/>
      <c r="G4" s="460"/>
      <c r="H4" s="461"/>
      <c r="I4"/>
      <c r="J4"/>
      <c r="K4"/>
    </row>
    <row r="5" spans="2:11" ht="41.25" customHeight="1" thickTop="1" thickBot="1">
      <c r="B5" s="471"/>
      <c r="C5" s="459" t="s">
        <v>445</v>
      </c>
      <c r="D5" s="461"/>
      <c r="E5" s="459" t="s">
        <v>446</v>
      </c>
      <c r="F5" s="461"/>
      <c r="G5" s="459" t="s">
        <v>447</v>
      </c>
      <c r="H5" s="461"/>
      <c r="I5"/>
      <c r="J5"/>
      <c r="K5"/>
    </row>
    <row r="6" spans="2:11" ht="14.25" thickTop="1" thickBot="1">
      <c r="B6" s="471" t="s">
        <v>10</v>
      </c>
      <c r="C6" s="315" t="s">
        <v>443</v>
      </c>
      <c r="D6" s="315" t="s">
        <v>444</v>
      </c>
      <c r="E6" s="315" t="s">
        <v>443</v>
      </c>
      <c r="F6" s="315" t="s">
        <v>444</v>
      </c>
      <c r="G6" s="315" t="s">
        <v>443</v>
      </c>
      <c r="H6" s="315" t="s">
        <v>444</v>
      </c>
      <c r="I6"/>
      <c r="J6"/>
      <c r="K6"/>
    </row>
    <row r="7" spans="2:11" ht="14.25" thickTop="1" thickBot="1">
      <c r="B7" s="250">
        <v>2015</v>
      </c>
      <c r="C7" s="262">
        <v>13.1</v>
      </c>
      <c r="D7" s="262">
        <v>8.6</v>
      </c>
      <c r="E7" s="262">
        <v>12.4</v>
      </c>
      <c r="F7" s="262">
        <v>8</v>
      </c>
      <c r="G7" s="262">
        <v>16.3</v>
      </c>
      <c r="H7" s="254" t="s">
        <v>156</v>
      </c>
      <c r="I7"/>
      <c r="J7"/>
      <c r="K7"/>
    </row>
    <row r="8" spans="2:11" ht="14.25" thickTop="1" thickBot="1">
      <c r="B8" s="253">
        <v>2016</v>
      </c>
      <c r="C8" s="262">
        <v>10.6</v>
      </c>
      <c r="D8" s="262">
        <v>8.1999999999999993</v>
      </c>
      <c r="E8" s="262">
        <v>13.1</v>
      </c>
      <c r="F8" s="262">
        <v>8</v>
      </c>
      <c r="G8" s="262">
        <v>15</v>
      </c>
      <c r="H8" s="254" t="s">
        <v>156</v>
      </c>
      <c r="I8"/>
      <c r="J8"/>
      <c r="K8"/>
    </row>
    <row r="9" spans="2:11" ht="13.5" thickTop="1">
      <c r="B9" s="253">
        <v>2017</v>
      </c>
      <c r="C9" s="262">
        <v>9</v>
      </c>
      <c r="D9" s="262">
        <v>9.1</v>
      </c>
      <c r="E9" s="262">
        <v>13.1</v>
      </c>
      <c r="F9" s="262">
        <v>8.4</v>
      </c>
      <c r="G9" s="262">
        <v>15</v>
      </c>
      <c r="H9" s="254" t="s">
        <v>156</v>
      </c>
      <c r="I9"/>
      <c r="J9"/>
      <c r="K9"/>
    </row>
    <row r="10" spans="2:11">
      <c r="B10" s="254">
        <v>2018</v>
      </c>
      <c r="C10" s="263">
        <v>10.62</v>
      </c>
      <c r="D10" s="263">
        <v>9.4700000000000006</v>
      </c>
      <c r="E10" s="263">
        <v>12.6</v>
      </c>
      <c r="F10" s="263">
        <v>8.3699999999999992</v>
      </c>
      <c r="G10" s="263">
        <v>15</v>
      </c>
      <c r="H10" s="254" t="s">
        <v>156</v>
      </c>
      <c r="I10"/>
      <c r="J10"/>
      <c r="K10"/>
    </row>
    <row r="11" spans="2:11" ht="14.25">
      <c r="B11" s="260"/>
      <c r="C11" s="261"/>
      <c r="D11" s="261"/>
      <c r="E11" s="264"/>
      <c r="F11" s="237"/>
      <c r="G11" s="237"/>
      <c r="H11" s="237"/>
      <c r="I11"/>
      <c r="J11"/>
      <c r="K11"/>
    </row>
    <row r="12" spans="2:11" ht="17.25" customHeight="1">
      <c r="B12" s="473" t="s">
        <v>11</v>
      </c>
      <c r="C12" s="474"/>
      <c r="D12" s="474"/>
      <c r="E12" s="474"/>
      <c r="F12" s="474"/>
      <c r="G12" s="474"/>
      <c r="H12" s="474"/>
      <c r="I12"/>
      <c r="J12"/>
      <c r="K12"/>
    </row>
    <row r="13" spans="2:11" ht="13.5">
      <c r="B13" s="475" t="s">
        <v>1065</v>
      </c>
      <c r="C13" s="475"/>
      <c r="D13" s="475"/>
      <c r="E13" s="475"/>
      <c r="F13" s="475"/>
      <c r="G13" s="475"/>
      <c r="H13" s="475"/>
      <c r="I13"/>
      <c r="J13"/>
      <c r="K13"/>
    </row>
    <row r="19" spans="2:8">
      <c r="C19" s="4" t="s">
        <v>445</v>
      </c>
      <c r="E19" s="4" t="s">
        <v>446</v>
      </c>
      <c r="G19" s="3" t="s">
        <v>447</v>
      </c>
    </row>
    <row r="20" spans="2:8" ht="13.5" thickBot="1">
      <c r="B20" s="436" t="s">
        <v>10</v>
      </c>
      <c r="C20" s="4" t="s">
        <v>1130</v>
      </c>
      <c r="D20" s="4" t="s">
        <v>1131</v>
      </c>
      <c r="E20" s="4" t="s">
        <v>1132</v>
      </c>
      <c r="F20" s="3" t="s">
        <v>1133</v>
      </c>
      <c r="G20" s="3" t="s">
        <v>1134</v>
      </c>
      <c r="H20" s="3" t="s">
        <v>1135</v>
      </c>
    </row>
    <row r="21" spans="2:8" ht="14.25" thickTop="1" thickBot="1">
      <c r="B21" s="250">
        <v>2015</v>
      </c>
      <c r="C21" s="262">
        <v>13.1</v>
      </c>
      <c r="D21" s="262">
        <v>8.6</v>
      </c>
      <c r="E21" s="262">
        <v>12.4</v>
      </c>
      <c r="F21" s="262">
        <v>8</v>
      </c>
      <c r="G21" s="262">
        <v>16.3</v>
      </c>
      <c r="H21" s="254" t="s">
        <v>156</v>
      </c>
    </row>
    <row r="22" spans="2:8" ht="14.25" thickTop="1" thickBot="1">
      <c r="B22" s="253">
        <v>2016</v>
      </c>
      <c r="C22" s="262">
        <v>10.6</v>
      </c>
      <c r="D22" s="262">
        <v>8.1999999999999993</v>
      </c>
      <c r="E22" s="262">
        <v>13.1</v>
      </c>
      <c r="F22" s="262">
        <v>8</v>
      </c>
      <c r="G22" s="262">
        <v>15</v>
      </c>
      <c r="H22" s="254" t="s">
        <v>156</v>
      </c>
    </row>
    <row r="23" spans="2:8" ht="13.5" thickTop="1">
      <c r="B23" s="253">
        <v>2017</v>
      </c>
      <c r="C23" s="262">
        <v>9</v>
      </c>
      <c r="D23" s="262">
        <v>9.1</v>
      </c>
      <c r="E23" s="262">
        <v>13.1</v>
      </c>
      <c r="F23" s="262">
        <v>8.4</v>
      </c>
      <c r="G23" s="262">
        <v>15</v>
      </c>
      <c r="H23" s="254" t="s">
        <v>156</v>
      </c>
    </row>
    <row r="24" spans="2:8">
      <c r="B24" s="254">
        <v>2018</v>
      </c>
      <c r="C24" s="263">
        <v>10.62</v>
      </c>
      <c r="D24" s="263">
        <v>9.4700000000000006</v>
      </c>
      <c r="E24" s="263">
        <v>12.6</v>
      </c>
      <c r="F24" s="263">
        <v>8.3699999999999992</v>
      </c>
      <c r="G24" s="263">
        <v>15</v>
      </c>
      <c r="H24" s="254" t="s">
        <v>156</v>
      </c>
    </row>
  </sheetData>
  <mergeCells count="9">
    <mergeCell ref="B12:H12"/>
    <mergeCell ref="B13:H13"/>
    <mergeCell ref="E5:F5"/>
    <mergeCell ref="G5:H5"/>
    <mergeCell ref="B2:H2"/>
    <mergeCell ref="B3:H3"/>
    <mergeCell ref="C4:H4"/>
    <mergeCell ref="B4:B6"/>
    <mergeCell ref="C5:D5"/>
  </mergeCells>
  <hyperlinks>
    <hyperlink ref="B3:H3" location="'Capitulo 1'!B22" display="Tasas de interés para vivienda en colones y dólares: bancos estatales, bancos privados y entidades financieras no bancarias. 2015-2018. 1/" xr:uid="{00000000-0004-0000-05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r:id="rId1"/>
  <headerFooter alignWithMargins="0"/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>
    <tabColor rgb="FFB43E97"/>
  </sheetPr>
  <dimension ref="A1:J26"/>
  <sheetViews>
    <sheetView showGridLines="0" topLeftCell="A10" zoomScaleNormal="100" workbookViewId="0">
      <selection activeCell="B25" sqref="B25:I25"/>
    </sheetView>
  </sheetViews>
  <sheetFormatPr baseColWidth="10" defaultRowHeight="21"/>
  <cols>
    <col min="1" max="1" width="14.140625" style="18" bestFit="1" customWidth="1"/>
    <col min="2" max="8" width="11.42578125" style="18"/>
    <col min="9" max="9" width="7.140625" style="18" customWidth="1"/>
    <col min="10" max="16384" width="11.42578125" style="18"/>
  </cols>
  <sheetData>
    <row r="1" spans="1:10" ht="15" customHeight="1"/>
    <row r="2" spans="1:10" ht="15.75" customHeight="1"/>
    <row r="3" spans="1:10" ht="14.25" customHeight="1"/>
    <row r="4" spans="1:10" ht="15" customHeight="1"/>
    <row r="5" spans="1:10" ht="14.25" customHeight="1"/>
    <row r="6" spans="1:10" ht="14.25" customHeight="1"/>
    <row r="7" spans="1:10" ht="15" customHeight="1"/>
    <row r="8" spans="1:10" ht="17.25" customHeight="1"/>
    <row r="9" spans="1:10" s="20" customFormat="1" ht="12" customHeight="1">
      <c r="J9" s="19"/>
    </row>
    <row r="10" spans="1:10" ht="15.75" customHeight="1"/>
    <row r="11" spans="1:10" ht="16.5" customHeight="1"/>
    <row r="12" spans="1:10" ht="17.25" customHeight="1">
      <c r="C12" s="21"/>
    </row>
    <row r="13" spans="1:10" ht="16.5" customHeight="1"/>
    <row r="14" spans="1:10" ht="14.25" customHeight="1"/>
    <row r="15" spans="1:10">
      <c r="A15" s="480" t="s">
        <v>545</v>
      </c>
      <c r="B15" s="480"/>
      <c r="C15" s="480"/>
      <c r="D15" s="480"/>
      <c r="E15" s="480"/>
      <c r="F15" s="480"/>
      <c r="G15" s="480"/>
      <c r="H15" s="480"/>
      <c r="I15" s="480"/>
    </row>
    <row r="16" spans="1:10" ht="18.75" customHeight="1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ht="20.25" customHeight="1">
      <c r="A17" s="481" t="s">
        <v>466</v>
      </c>
      <c r="B17" s="481"/>
      <c r="C17" s="481"/>
      <c r="D17" s="481"/>
      <c r="E17" s="481"/>
      <c r="F17" s="481"/>
      <c r="G17" s="481"/>
      <c r="H17" s="481"/>
      <c r="I17" s="481"/>
    </row>
    <row r="18" spans="1:9">
      <c r="A18" s="237"/>
      <c r="B18" s="237"/>
      <c r="C18" s="237"/>
      <c r="D18" s="237"/>
      <c r="E18" s="237"/>
      <c r="F18" s="237"/>
      <c r="G18" s="237"/>
      <c r="H18" s="237"/>
      <c r="I18" s="237"/>
    </row>
    <row r="19" spans="1:9" ht="24.75" customHeight="1">
      <c r="A19" s="239" t="s">
        <v>546</v>
      </c>
      <c r="B19" s="448" t="s">
        <v>605</v>
      </c>
      <c r="C19" s="448"/>
      <c r="D19" s="448"/>
      <c r="E19" s="448"/>
      <c r="F19" s="448"/>
      <c r="G19" s="448"/>
      <c r="H19" s="448"/>
      <c r="I19" s="448"/>
    </row>
    <row r="20" spans="1:9" ht="27" customHeight="1">
      <c r="A20" s="239" t="s">
        <v>551</v>
      </c>
      <c r="B20" s="448" t="s">
        <v>684</v>
      </c>
      <c r="C20" s="448"/>
      <c r="D20" s="448"/>
      <c r="E20" s="448"/>
      <c r="F20" s="448"/>
      <c r="G20" s="448"/>
      <c r="H20" s="448"/>
      <c r="I20" s="448"/>
    </row>
    <row r="21" spans="1:9">
      <c r="A21" s="239" t="s">
        <v>559</v>
      </c>
      <c r="B21" s="448" t="s">
        <v>686</v>
      </c>
      <c r="C21" s="448"/>
      <c r="D21" s="448"/>
      <c r="E21" s="448"/>
      <c r="F21" s="448"/>
      <c r="G21" s="448"/>
      <c r="H21" s="448"/>
      <c r="I21" s="448"/>
    </row>
    <row r="22" spans="1:9">
      <c r="A22" s="239" t="s">
        <v>562</v>
      </c>
      <c r="B22" s="448" t="s">
        <v>688</v>
      </c>
      <c r="C22" s="448"/>
      <c r="D22" s="448"/>
      <c r="E22" s="448"/>
      <c r="F22" s="448"/>
      <c r="G22" s="448"/>
      <c r="H22" s="448"/>
      <c r="I22" s="448"/>
    </row>
    <row r="23" spans="1:9">
      <c r="A23" s="239" t="s">
        <v>690</v>
      </c>
      <c r="B23" s="448" t="s">
        <v>689</v>
      </c>
      <c r="C23" s="448"/>
      <c r="D23" s="448"/>
      <c r="E23" s="448"/>
      <c r="F23" s="448"/>
      <c r="G23" s="448"/>
      <c r="H23" s="448"/>
      <c r="I23" s="448"/>
    </row>
    <row r="24" spans="1:9" ht="21" customHeight="1">
      <c r="A24" s="239" t="s">
        <v>691</v>
      </c>
      <c r="B24" s="448" t="s">
        <v>606</v>
      </c>
      <c r="C24" s="448"/>
      <c r="D24" s="448"/>
      <c r="E24" s="448"/>
      <c r="F24" s="448"/>
      <c r="G24" s="448"/>
      <c r="H24" s="448"/>
      <c r="I24" s="448"/>
    </row>
    <row r="25" spans="1:9" ht="29.25" customHeight="1">
      <c r="A25" s="239" t="s">
        <v>692</v>
      </c>
      <c r="B25" s="448" t="s">
        <v>604</v>
      </c>
      <c r="C25" s="448"/>
      <c r="D25" s="448"/>
      <c r="E25" s="448"/>
      <c r="F25" s="448"/>
      <c r="G25" s="448"/>
      <c r="H25" s="448"/>
      <c r="I25" s="448"/>
    </row>
    <row r="26" spans="1:9" ht="21" customHeight="1">
      <c r="A26" s="239" t="s">
        <v>703</v>
      </c>
      <c r="B26" s="448" t="s">
        <v>610</v>
      </c>
      <c r="C26" s="448"/>
      <c r="D26" s="448"/>
      <c r="E26" s="448"/>
      <c r="F26" s="448"/>
      <c r="G26" s="448"/>
      <c r="H26" s="448"/>
      <c r="I26" s="448"/>
    </row>
  </sheetData>
  <mergeCells count="10">
    <mergeCell ref="B25:I25"/>
    <mergeCell ref="B26:I26"/>
    <mergeCell ref="B22:I22"/>
    <mergeCell ref="B23:I23"/>
    <mergeCell ref="A15:I15"/>
    <mergeCell ref="A17:I17"/>
    <mergeCell ref="B24:I24"/>
    <mergeCell ref="B19:I19"/>
    <mergeCell ref="B20:I20"/>
    <mergeCell ref="B21:I21"/>
  </mergeCells>
  <phoneticPr fontId="102" type="noConversion"/>
  <hyperlinks>
    <hyperlink ref="A15:I15" location="'Compendio de Vivienda 2018'!F33" display="Capítulo 5: Metas de Desarrollo Sostenible" xr:uid="{00000000-0004-0000-3C00-000000000000}"/>
    <hyperlink ref="B19:I19" location="'c55'!B3" display="Gasto Social como porcentaje del PIB, según sector. 2010-2017." xr:uid="{00000000-0004-0000-3C00-000001000000}"/>
    <hyperlink ref="B20:I20" location="'c56'!B3" display="Población en viviendas con servicio sanitario conectado a alcantarillado sanitario o tanque séptico, según región y zona. 2018." xr:uid="{00000000-0004-0000-3C00-000002000000}"/>
    <hyperlink ref="B21:I21" location="'c57'!B3" display="Población con servicio de camión recolector de residuos sólidos, según región y zona. 2018." xr:uid="{00000000-0004-0000-3C00-000003000000}"/>
    <hyperlink ref="B22:I22" location="'c58'!B3" display="Población con acceso a electricidad, según región y zona. 2018." xr:uid="{00000000-0004-0000-3C00-000004000000}"/>
    <hyperlink ref="B23:I23" location="'c59'!B3" display="Población en asentamiento informal (precario), según región y zona. 2018." xr:uid="{00000000-0004-0000-3C00-000005000000}"/>
    <hyperlink ref="B24:I24" location="'c60'!B3" display="Índice de Pobreza Multidimensional (IPM) de los hogares, según zona y región. 2010-2018." xr:uid="{00000000-0004-0000-3C00-000006000000}"/>
    <hyperlink ref="B25:I25" location="'c61'!B3" display="Índice de Pobreza Multidimensional (IPM) y la contribución absoluta de la dimensión Vivienda e Internet, según región. 2018." xr:uid="{00000000-0004-0000-3C00-000007000000}"/>
    <hyperlink ref="B26:I26" location="'c62'!A1" display="Hogares pobres con privación en los indicadores del IPM. 2010-2018." xr:uid="{00000000-0004-0000-3C00-000008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 r:id="rId1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B1:K24"/>
  <sheetViews>
    <sheetView showGridLines="0" zoomScaleNormal="100" workbookViewId="0">
      <pane ySplit="5" topLeftCell="A6" activePane="bottomLeft" state="frozen"/>
      <selection pane="bottomLeft" activeCell="B2" sqref="B2:J2"/>
    </sheetView>
  </sheetViews>
  <sheetFormatPr baseColWidth="10" defaultRowHeight="12.75"/>
  <cols>
    <col min="1" max="1" width="11.42578125" style="22"/>
    <col min="2" max="2" width="47.28515625" style="22" customWidth="1"/>
    <col min="3" max="3" width="9.7109375" style="22" customWidth="1"/>
    <col min="4" max="4" width="10.28515625" style="22" customWidth="1"/>
    <col min="5" max="5" width="9.7109375" style="22" customWidth="1"/>
    <col min="6" max="7" width="10.28515625" style="22" customWidth="1"/>
    <col min="8" max="16384" width="11.42578125" style="22"/>
  </cols>
  <sheetData>
    <row r="1" spans="2:11" ht="13.5" thickBot="1"/>
    <row r="2" spans="2:11" ht="15.75" thickTop="1">
      <c r="B2" s="585" t="s">
        <v>546</v>
      </c>
      <c r="C2" s="586"/>
      <c r="D2" s="586"/>
      <c r="E2" s="586"/>
      <c r="F2" s="586"/>
      <c r="G2" s="586"/>
      <c r="H2" s="586"/>
      <c r="I2" s="586"/>
      <c r="J2" s="586"/>
      <c r="K2" s="225"/>
    </row>
    <row r="3" spans="2:11" ht="31.5" customHeight="1" thickBot="1">
      <c r="B3" s="587" t="s">
        <v>605</v>
      </c>
      <c r="C3" s="482"/>
      <c r="D3" s="482"/>
      <c r="E3" s="482"/>
      <c r="F3" s="482"/>
      <c r="G3" s="482"/>
      <c r="H3" s="482"/>
      <c r="I3" s="482"/>
      <c r="J3" s="482"/>
      <c r="K3" s="225"/>
    </row>
    <row r="4" spans="2:11" ht="16.5" customHeight="1" thickTop="1" thickBot="1">
      <c r="B4" s="583" t="s">
        <v>552</v>
      </c>
      <c r="C4" s="588" t="s">
        <v>553</v>
      </c>
      <c r="D4" s="589"/>
      <c r="E4" s="589"/>
      <c r="F4" s="589"/>
      <c r="G4" s="589"/>
      <c r="H4" s="589"/>
      <c r="I4" s="589"/>
      <c r="J4" s="589"/>
      <c r="K4" s="225"/>
    </row>
    <row r="5" spans="2:11" ht="14.25" thickTop="1" thickBot="1">
      <c r="B5" s="584"/>
      <c r="C5" s="365">
        <v>2010</v>
      </c>
      <c r="D5" s="365">
        <v>2011</v>
      </c>
      <c r="E5" s="365">
        <v>2012</v>
      </c>
      <c r="F5" s="365">
        <v>2013</v>
      </c>
      <c r="G5" s="365">
        <v>2014</v>
      </c>
      <c r="H5" s="365">
        <v>2015</v>
      </c>
      <c r="I5" s="365">
        <v>2016</v>
      </c>
      <c r="J5" s="365">
        <v>2017</v>
      </c>
      <c r="K5" s="225"/>
    </row>
    <row r="6" spans="2:11" ht="14.25" thickTop="1" thickBot="1">
      <c r="B6" s="244" t="s">
        <v>103</v>
      </c>
      <c r="C6" s="394">
        <v>21.9</v>
      </c>
      <c r="D6" s="394">
        <v>21.8</v>
      </c>
      <c r="E6" s="394">
        <v>22.3</v>
      </c>
      <c r="F6" s="394">
        <v>22.9</v>
      </c>
      <c r="G6" s="394">
        <v>22.6</v>
      </c>
      <c r="H6" s="394">
        <v>23.2</v>
      </c>
      <c r="I6" s="394">
        <v>23.2</v>
      </c>
      <c r="J6" s="394">
        <v>23.9</v>
      </c>
    </row>
    <row r="7" spans="2:11" ht="14.25" thickTop="1" thickBot="1">
      <c r="B7" s="244" t="s">
        <v>554</v>
      </c>
      <c r="C7" s="394">
        <v>6.3</v>
      </c>
      <c r="D7" s="394">
        <v>6.3</v>
      </c>
      <c r="E7" s="394">
        <v>6.6</v>
      </c>
      <c r="F7" s="394">
        <v>6.5</v>
      </c>
      <c r="G7" s="394">
        <v>6.3</v>
      </c>
      <c r="H7" s="394">
        <v>6.5</v>
      </c>
      <c r="I7" s="394">
        <v>6.5</v>
      </c>
      <c r="J7" s="394">
        <v>6.5</v>
      </c>
    </row>
    <row r="8" spans="2:11" ht="14.25" thickTop="1" thickBot="1">
      <c r="B8" s="244" t="s">
        <v>555</v>
      </c>
      <c r="C8" s="394">
        <v>7</v>
      </c>
      <c r="D8" s="394">
        <v>6.8</v>
      </c>
      <c r="E8" s="394">
        <v>7</v>
      </c>
      <c r="F8" s="394">
        <v>7.3</v>
      </c>
      <c r="G8" s="394">
        <v>7.3</v>
      </c>
      <c r="H8" s="394">
        <v>7.4</v>
      </c>
      <c r="I8" s="394">
        <v>7.5</v>
      </c>
      <c r="J8" s="394">
        <v>7.7</v>
      </c>
    </row>
    <row r="9" spans="2:11" ht="14.25" thickTop="1" thickBot="1">
      <c r="B9" s="244" t="s">
        <v>556</v>
      </c>
      <c r="C9" s="394">
        <v>6.3</v>
      </c>
      <c r="D9" s="394">
        <v>6.4</v>
      </c>
      <c r="E9" s="394">
        <v>6.5</v>
      </c>
      <c r="F9" s="394">
        <v>6.8</v>
      </c>
      <c r="G9" s="394">
        <v>6.8</v>
      </c>
      <c r="H9" s="394">
        <v>6.9</v>
      </c>
      <c r="I9" s="394">
        <v>6.9</v>
      </c>
      <c r="J9" s="394">
        <v>7.1</v>
      </c>
    </row>
    <row r="10" spans="2:11" ht="14.25" thickTop="1" thickBot="1">
      <c r="B10" s="244" t="s">
        <v>557</v>
      </c>
      <c r="C10" s="394">
        <v>2.14</v>
      </c>
      <c r="D10" s="394">
        <v>2</v>
      </c>
      <c r="E10" s="394">
        <v>2</v>
      </c>
      <c r="F10" s="394">
        <v>2.1</v>
      </c>
      <c r="G10" s="394">
        <v>2.1</v>
      </c>
      <c r="H10" s="394">
        <v>2.2000000000000002</v>
      </c>
      <c r="I10" s="394">
        <v>2.2000000000000002</v>
      </c>
      <c r="J10" s="394">
        <v>2.2999999999999998</v>
      </c>
    </row>
    <row r="11" spans="2:11" ht="14.25" thickTop="1" thickBot="1">
      <c r="B11" s="244" t="s">
        <v>558</v>
      </c>
      <c r="C11" s="394">
        <v>0.19</v>
      </c>
      <c r="D11" s="394">
        <v>0.2</v>
      </c>
      <c r="E11" s="394">
        <v>0.2</v>
      </c>
      <c r="F11" s="394">
        <v>0.2</v>
      </c>
      <c r="G11" s="394">
        <v>0.2</v>
      </c>
      <c r="H11" s="394">
        <v>0.2</v>
      </c>
      <c r="I11" s="394">
        <v>0.2</v>
      </c>
      <c r="J11" s="394">
        <v>0.2</v>
      </c>
    </row>
    <row r="12" spans="2:11" ht="15" thickTop="1">
      <c r="B12" s="341"/>
      <c r="C12" s="364"/>
      <c r="D12" s="364"/>
      <c r="E12" s="329"/>
      <c r="F12" s="329"/>
      <c r="G12" s="329"/>
      <c r="H12" s="329"/>
      <c r="I12" s="329"/>
      <c r="J12" s="329"/>
    </row>
    <row r="13" spans="2:11" ht="18" customHeight="1">
      <c r="B13" s="590" t="s">
        <v>639</v>
      </c>
      <c r="C13" s="591"/>
      <c r="D13" s="591"/>
      <c r="E13" s="591"/>
      <c r="F13" s="591"/>
      <c r="G13" s="591"/>
      <c r="H13" s="591"/>
      <c r="I13" s="591"/>
      <c r="J13" s="591"/>
    </row>
    <row r="14" spans="2:11">
      <c r="G14" s="132"/>
    </row>
    <row r="15" spans="2:11">
      <c r="C15" s="226"/>
      <c r="D15" s="226"/>
      <c r="E15" s="226"/>
      <c r="F15" s="226"/>
      <c r="G15" s="226"/>
    </row>
    <row r="17" spans="2:10">
      <c r="G17" s="132"/>
    </row>
    <row r="18" spans="2:10" ht="13.5" thickBot="1"/>
    <row r="19" spans="2:10" ht="14.25" thickTop="1" thickBot="1">
      <c r="B19" s="244"/>
      <c r="C19" s="26"/>
      <c r="D19" s="26"/>
      <c r="E19" s="26"/>
      <c r="F19" s="26"/>
      <c r="G19" s="26"/>
      <c r="H19" s="26"/>
      <c r="I19" s="26"/>
      <c r="J19" s="26"/>
    </row>
    <row r="20" spans="2:10" ht="14.25" thickTop="1" thickBot="1">
      <c r="B20" s="244"/>
      <c r="C20" s="26"/>
      <c r="D20" s="26"/>
      <c r="E20" s="26"/>
      <c r="F20" s="26"/>
      <c r="G20" s="26"/>
      <c r="H20" s="26"/>
      <c r="I20" s="26"/>
      <c r="J20" s="26"/>
    </row>
    <row r="21" spans="2:10" ht="14.25" thickTop="1" thickBot="1">
      <c r="B21" s="244"/>
      <c r="C21" s="26"/>
      <c r="D21" s="26"/>
      <c r="E21" s="26"/>
      <c r="F21" s="26"/>
      <c r="G21" s="26"/>
      <c r="H21" s="26"/>
      <c r="I21" s="26"/>
      <c r="J21" s="26"/>
    </row>
    <row r="22" spans="2:10" ht="14.25" thickTop="1" thickBot="1">
      <c r="B22" s="244"/>
      <c r="C22" s="26"/>
      <c r="D22" s="26"/>
      <c r="E22" s="26"/>
      <c r="F22" s="26"/>
      <c r="G22" s="26"/>
      <c r="H22" s="26"/>
      <c r="I22" s="26"/>
      <c r="J22" s="26"/>
    </row>
    <row r="23" spans="2:10" ht="14.25" thickTop="1" thickBot="1">
      <c r="B23" s="244"/>
      <c r="C23" s="26"/>
      <c r="D23" s="26"/>
      <c r="E23" s="26"/>
      <c r="F23" s="26"/>
      <c r="G23" s="26"/>
      <c r="H23" s="26"/>
      <c r="I23" s="26"/>
      <c r="J23" s="26"/>
    </row>
    <row r="24" spans="2:10" ht="13.5" thickTop="1"/>
  </sheetData>
  <mergeCells count="5">
    <mergeCell ref="B4:B5"/>
    <mergeCell ref="B2:J2"/>
    <mergeCell ref="B3:J3"/>
    <mergeCell ref="C4:J4"/>
    <mergeCell ref="B13:J13"/>
  </mergeCells>
  <hyperlinks>
    <hyperlink ref="B3:J3" location="'Capitulo 5'!B19" display="Gasto Social como porcentaje del PIB, según sector. 2010-2017." xr:uid="{00000000-0004-0000-3D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B2:G31"/>
  <sheetViews>
    <sheetView showGridLines="0" workbookViewId="0">
      <pane ySplit="4" topLeftCell="A5" activePane="bottomLeft" state="frozen"/>
      <selection pane="bottomLeft" activeCell="N10" sqref="N10"/>
    </sheetView>
  </sheetViews>
  <sheetFormatPr baseColWidth="10" defaultRowHeight="12.75"/>
  <cols>
    <col min="1" max="1" width="11.42578125" style="22"/>
    <col min="2" max="2" width="24.42578125" style="22" customWidth="1"/>
    <col min="3" max="3" width="23" style="22" customWidth="1"/>
    <col min="4" max="4" width="22" style="22" customWidth="1"/>
    <col min="5" max="5" width="12.28515625" style="22" bestFit="1" customWidth="1"/>
    <col min="6" max="6" width="12.85546875" style="22" bestFit="1" customWidth="1"/>
    <col min="7" max="16384" width="11.42578125" style="22"/>
  </cols>
  <sheetData>
    <row r="2" spans="2:7" ht="15">
      <c r="B2" s="490" t="s">
        <v>551</v>
      </c>
      <c r="C2" s="490"/>
      <c r="D2" s="490"/>
    </row>
    <row r="3" spans="2:7" ht="48.75" customHeight="1" thickBot="1">
      <c r="B3" s="464" t="s">
        <v>684</v>
      </c>
      <c r="C3" s="464"/>
      <c r="D3" s="464"/>
    </row>
    <row r="4" spans="2:7" ht="50.25" customHeight="1" thickTop="1" thickBot="1">
      <c r="B4" s="369" t="s">
        <v>651</v>
      </c>
      <c r="C4" s="369" t="s">
        <v>560</v>
      </c>
      <c r="D4" s="369" t="s">
        <v>561</v>
      </c>
    </row>
    <row r="5" spans="2:7" ht="16.5" thickTop="1" thickBot="1">
      <c r="B5" s="244" t="s">
        <v>103</v>
      </c>
      <c r="C5" s="417">
        <v>4914813</v>
      </c>
      <c r="D5" s="320">
        <f>SUM(D9:D14)</f>
        <v>0.99999999999999989</v>
      </c>
      <c r="E5" s="27"/>
      <c r="F5" s="126"/>
    </row>
    <row r="6" spans="2:7" ht="16.5" thickTop="1" thickBot="1">
      <c r="B6" s="244"/>
      <c r="C6" s="417"/>
      <c r="D6" s="320"/>
      <c r="E6" s="27"/>
      <c r="F6" s="126"/>
    </row>
    <row r="7" spans="2:7" ht="16.5" thickTop="1" thickBot="1">
      <c r="B7" s="244" t="s">
        <v>115</v>
      </c>
      <c r="C7" s="417"/>
      <c r="D7" s="320"/>
      <c r="E7" s="27"/>
      <c r="F7" s="126"/>
    </row>
    <row r="8" spans="2:7" ht="16.5" thickTop="1" thickBot="1">
      <c r="B8" s="244"/>
      <c r="C8" s="417"/>
      <c r="D8" s="320"/>
      <c r="E8" s="27"/>
      <c r="F8" s="126"/>
    </row>
    <row r="9" spans="2:7" ht="16.5" thickTop="1" thickBot="1">
      <c r="B9" s="244" t="s">
        <v>340</v>
      </c>
      <c r="C9" s="417">
        <v>3070072</v>
      </c>
      <c r="D9" s="320">
        <f t="shared" ref="D9:D14" si="0">+C9/$C$5</f>
        <v>0.62465692997882116</v>
      </c>
      <c r="F9" s="227"/>
      <c r="G9" s="27"/>
    </row>
    <row r="10" spans="2:7" ht="16.5" thickTop="1" thickBot="1">
      <c r="B10" s="244" t="s">
        <v>341</v>
      </c>
      <c r="C10" s="417">
        <v>367609</v>
      </c>
      <c r="D10" s="320">
        <f t="shared" si="0"/>
        <v>7.4796131612738875E-2</v>
      </c>
      <c r="F10" s="126"/>
    </row>
    <row r="11" spans="2:7" ht="16.5" thickTop="1" thickBot="1">
      <c r="B11" s="244" t="s">
        <v>342</v>
      </c>
      <c r="C11" s="417">
        <v>289121</v>
      </c>
      <c r="D11" s="320">
        <f t="shared" si="0"/>
        <v>5.8826449755056805E-2</v>
      </c>
      <c r="F11" s="228"/>
    </row>
    <row r="12" spans="2:7" ht="16.5" thickTop="1" thickBot="1">
      <c r="B12" s="244" t="s">
        <v>343</v>
      </c>
      <c r="C12" s="417">
        <v>361524</v>
      </c>
      <c r="D12" s="320">
        <f t="shared" si="0"/>
        <v>7.3558037711709476E-2</v>
      </c>
      <c r="F12" s="228"/>
    </row>
    <row r="13" spans="2:7" ht="16.5" thickTop="1" thickBot="1">
      <c r="B13" s="244" t="s">
        <v>344</v>
      </c>
      <c r="C13" s="417">
        <v>432754</v>
      </c>
      <c r="D13" s="320">
        <f t="shared" si="0"/>
        <v>8.8050959415953367E-2</v>
      </c>
      <c r="F13" s="126"/>
    </row>
    <row r="14" spans="2:7" ht="16.5" thickTop="1" thickBot="1">
      <c r="B14" s="244" t="s">
        <v>345</v>
      </c>
      <c r="C14" s="417">
        <v>393733</v>
      </c>
      <c r="D14" s="320">
        <f t="shared" si="0"/>
        <v>8.0111491525720308E-2</v>
      </c>
      <c r="F14" s="228"/>
    </row>
    <row r="15" spans="2:7" ht="15.75" thickTop="1">
      <c r="B15" s="246"/>
      <c r="C15" s="416"/>
      <c r="D15" s="270"/>
      <c r="F15" s="228"/>
    </row>
    <row r="16" spans="2:7" ht="15">
      <c r="B16" s="246" t="s">
        <v>607</v>
      </c>
      <c r="C16" s="416"/>
      <c r="D16" s="270"/>
      <c r="F16" s="228"/>
    </row>
    <row r="17" spans="2:6" ht="15">
      <c r="B17" s="246" t="s">
        <v>685</v>
      </c>
      <c r="C17" s="416">
        <f>1057248+2433596+103719</f>
        <v>3594563</v>
      </c>
      <c r="D17" s="270">
        <f>+C17/C5</f>
        <v>0.73137329945208496</v>
      </c>
      <c r="F17" s="228"/>
    </row>
    <row r="18" spans="2:6" ht="15">
      <c r="B18" s="246" t="s">
        <v>652</v>
      </c>
      <c r="C18" s="416">
        <f>86893+1212373+20984</f>
        <v>1320250</v>
      </c>
      <c r="D18" s="270">
        <f>+C18/C5</f>
        <v>0.26862670054791504</v>
      </c>
      <c r="F18" s="228"/>
    </row>
    <row r="19" spans="2:6" ht="15" thickBot="1">
      <c r="B19" s="366"/>
      <c r="C19" s="367"/>
      <c r="D19" s="368"/>
      <c r="E19" s="229"/>
      <c r="F19" s="229"/>
    </row>
    <row r="20" spans="2:6" ht="16.5" customHeight="1" thickTop="1" thickBot="1">
      <c r="B20" s="491" t="s">
        <v>513</v>
      </c>
      <c r="C20" s="492"/>
      <c r="D20" s="492"/>
    </row>
    <row r="21" spans="2:6" ht="13.5" thickTop="1">
      <c r="C21" s="27"/>
    </row>
    <row r="23" spans="2:6">
      <c r="B23" s="229"/>
      <c r="C23" s="223"/>
      <c r="D23" s="226"/>
    </row>
    <row r="24" spans="2:6">
      <c r="B24" s="229"/>
      <c r="C24" s="223"/>
    </row>
    <row r="25" spans="2:6">
      <c r="B25" s="229"/>
      <c r="C25" s="223"/>
    </row>
    <row r="26" spans="2:6">
      <c r="B26" s="229"/>
      <c r="C26" s="223"/>
    </row>
    <row r="27" spans="2:6">
      <c r="B27" s="229"/>
      <c r="C27" s="223"/>
    </row>
    <row r="28" spans="2:6">
      <c r="B28" s="229"/>
      <c r="C28" s="223"/>
    </row>
    <row r="31" spans="2:6">
      <c r="C31" s="226"/>
    </row>
  </sheetData>
  <mergeCells count="3">
    <mergeCell ref="B2:D2"/>
    <mergeCell ref="B3:D3"/>
    <mergeCell ref="B20:D20"/>
  </mergeCells>
  <hyperlinks>
    <hyperlink ref="B3:D3" location="'Capitulo 5'!B20" display="Población en viviendas con servicio sanitario conectado a alcantarillado sanitario o tanque séptico, según región y zona. 2018." xr:uid="{00000000-0004-0000-3E00-000000000000}"/>
  </hyperlinks>
  <pageMargins left="0.75" right="0.75" top="1" bottom="1" header="0" footer="0"/>
  <headerFooter alignWithMargins="0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2:F32"/>
  <sheetViews>
    <sheetView showGridLines="0" workbookViewId="0">
      <pane ySplit="4" topLeftCell="A5" activePane="bottomLeft" state="frozen"/>
      <selection pane="bottomLeft" activeCell="C25" sqref="C25"/>
    </sheetView>
  </sheetViews>
  <sheetFormatPr baseColWidth="10" defaultRowHeight="12.75"/>
  <cols>
    <col min="1" max="1" width="11.42578125" style="22"/>
    <col min="2" max="2" width="30" style="22" customWidth="1"/>
    <col min="3" max="3" width="21.28515625" style="22" customWidth="1"/>
    <col min="4" max="4" width="20.140625" style="22" customWidth="1"/>
    <col min="5" max="16384" width="11.42578125" style="22"/>
  </cols>
  <sheetData>
    <row r="2" spans="2:6" ht="15">
      <c r="B2" s="490" t="s">
        <v>559</v>
      </c>
      <c r="C2" s="490"/>
      <c r="D2" s="490"/>
    </row>
    <row r="3" spans="2:6" ht="39" customHeight="1" thickBot="1">
      <c r="B3" s="464" t="s">
        <v>686</v>
      </c>
      <c r="C3" s="464"/>
      <c r="D3" s="464"/>
    </row>
    <row r="4" spans="2:6" ht="44.25" customHeight="1" thickTop="1" thickBot="1">
      <c r="B4" s="369" t="s">
        <v>651</v>
      </c>
      <c r="C4" s="369" t="s">
        <v>560</v>
      </c>
      <c r="D4" s="369" t="s">
        <v>561</v>
      </c>
    </row>
    <row r="5" spans="2:6" ht="14.25" thickTop="1" thickBot="1">
      <c r="B5" s="244" t="s">
        <v>103</v>
      </c>
      <c r="C5" s="417">
        <v>4445574</v>
      </c>
      <c r="D5" s="320">
        <f>SUM(D9:D14)</f>
        <v>0.99999999999999989</v>
      </c>
    </row>
    <row r="6" spans="2:6" ht="14.25" thickTop="1" thickBot="1">
      <c r="B6" s="244"/>
      <c r="C6" s="417"/>
      <c r="D6" s="320"/>
    </row>
    <row r="7" spans="2:6" ht="14.25" thickTop="1" thickBot="1">
      <c r="B7" s="244" t="s">
        <v>115</v>
      </c>
      <c r="C7" s="417"/>
      <c r="D7" s="320"/>
    </row>
    <row r="8" spans="2:6" ht="14.25" thickTop="1" thickBot="1">
      <c r="B8" s="244"/>
      <c r="C8" s="417"/>
      <c r="D8" s="320"/>
    </row>
    <row r="9" spans="2:6" ht="14.25" thickTop="1" thickBot="1">
      <c r="B9" s="244" t="s">
        <v>340</v>
      </c>
      <c r="C9" s="417">
        <v>3027713</v>
      </c>
      <c r="D9" s="320">
        <f t="shared" ref="D9:D14" si="0">+C9/$C$5</f>
        <v>0.68106233300806596</v>
      </c>
    </row>
    <row r="10" spans="2:6" ht="14.25" thickTop="1" thickBot="1">
      <c r="B10" s="244" t="s">
        <v>341</v>
      </c>
      <c r="C10" s="417">
        <v>310855</v>
      </c>
      <c r="D10" s="320">
        <f t="shared" si="0"/>
        <v>6.9924603661979307E-2</v>
      </c>
    </row>
    <row r="11" spans="2:6" ht="14.25" thickTop="1" thickBot="1">
      <c r="B11" s="244" t="s">
        <v>342</v>
      </c>
      <c r="C11" s="417">
        <v>260157</v>
      </c>
      <c r="D11" s="320">
        <f t="shared" si="0"/>
        <v>5.8520452027117309E-2</v>
      </c>
    </row>
    <row r="12" spans="2:6" ht="14.25" thickTop="1" thickBot="1">
      <c r="B12" s="244" t="s">
        <v>343</v>
      </c>
      <c r="C12" s="417">
        <v>245954</v>
      </c>
      <c r="D12" s="320">
        <f t="shared" si="0"/>
        <v>5.5325589001555257E-2</v>
      </c>
    </row>
    <row r="13" spans="2:6" ht="14.25" thickTop="1" thickBot="1">
      <c r="B13" s="244" t="s">
        <v>344</v>
      </c>
      <c r="C13" s="417">
        <v>325783</v>
      </c>
      <c r="D13" s="320">
        <f t="shared" si="0"/>
        <v>7.3282550239856539E-2</v>
      </c>
      <c r="F13" s="27"/>
    </row>
    <row r="14" spans="2:6" ht="14.25" thickTop="1" thickBot="1">
      <c r="B14" s="244" t="s">
        <v>345</v>
      </c>
      <c r="C14" s="417">
        <v>275112</v>
      </c>
      <c r="D14" s="320">
        <f t="shared" si="0"/>
        <v>6.188447206142559E-2</v>
      </c>
      <c r="E14" s="27"/>
    </row>
    <row r="15" spans="2:6" ht="13.5" thickTop="1">
      <c r="B15" s="246"/>
      <c r="C15" s="416"/>
      <c r="D15" s="270"/>
      <c r="E15" s="27"/>
    </row>
    <row r="16" spans="2:6">
      <c r="B16" s="246" t="s">
        <v>607</v>
      </c>
      <c r="C16" s="416"/>
      <c r="D16" s="270"/>
      <c r="E16" s="27"/>
    </row>
    <row r="17" spans="1:5">
      <c r="B17" s="246" t="s">
        <v>687</v>
      </c>
      <c r="C17" s="416">
        <v>3558162</v>
      </c>
      <c r="D17" s="270">
        <f>+C17/C5</f>
        <v>0.80038303265225141</v>
      </c>
      <c r="E17" s="27"/>
    </row>
    <row r="18" spans="1:5">
      <c r="A18" s="22" t="s">
        <v>660</v>
      </c>
      <c r="B18" s="246" t="s">
        <v>652</v>
      </c>
      <c r="C18" s="416">
        <v>887412</v>
      </c>
      <c r="D18" s="270">
        <f>+C18/C5</f>
        <v>0.19961696734774856</v>
      </c>
      <c r="E18" s="27"/>
    </row>
    <row r="19" spans="1:5" ht="15" thickBot="1">
      <c r="B19" s="370"/>
      <c r="C19" s="370"/>
      <c r="D19" s="371"/>
    </row>
    <row r="20" spans="1:5" ht="14.25" thickTop="1" thickBot="1">
      <c r="B20" s="488" t="s">
        <v>513</v>
      </c>
      <c r="C20" s="489"/>
      <c r="D20" s="489"/>
    </row>
    <row r="21" spans="1:5" ht="13.5" thickTop="1"/>
    <row r="22" spans="1:5">
      <c r="C22" s="230"/>
    </row>
    <row r="23" spans="1:5">
      <c r="C23" s="230"/>
      <c r="D23" s="229"/>
    </row>
    <row r="24" spans="1:5">
      <c r="C24" s="230"/>
    </row>
    <row r="25" spans="1:5">
      <c r="C25" s="230"/>
    </row>
    <row r="26" spans="1:5">
      <c r="C26" s="230"/>
    </row>
    <row r="27" spans="1:5">
      <c r="C27" s="230"/>
    </row>
    <row r="28" spans="1:5">
      <c r="C28" s="230"/>
    </row>
    <row r="29" spans="1:5">
      <c r="C29" s="230"/>
    </row>
    <row r="30" spans="1:5">
      <c r="C30" s="230"/>
    </row>
    <row r="31" spans="1:5">
      <c r="C31" s="230"/>
    </row>
    <row r="32" spans="1:5">
      <c r="C32" s="230"/>
    </row>
  </sheetData>
  <mergeCells count="3">
    <mergeCell ref="B2:D2"/>
    <mergeCell ref="B3:D3"/>
    <mergeCell ref="B20:D20"/>
  </mergeCells>
  <hyperlinks>
    <hyperlink ref="B3:D3" location="'Capitulo 5'!B21" display="Población con servicio de camión recolector de residuos sólidos, según región y zona. 2018." xr:uid="{00000000-0004-0000-3F00-000000000000}"/>
  </hyperlinks>
  <pageMargins left="0.75" right="0.75" top="1" bottom="1" header="0" footer="0"/>
  <pageSetup orientation="portrait" r:id="rId1"/>
  <headerFooter alignWithMargins="0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B2:F26"/>
  <sheetViews>
    <sheetView showGridLines="0" workbookViewId="0">
      <pane ySplit="4" topLeftCell="A5" activePane="bottomLeft" state="frozen"/>
      <selection pane="bottomLeft" activeCell="D25" sqref="D25"/>
    </sheetView>
  </sheetViews>
  <sheetFormatPr baseColWidth="10" defaultRowHeight="12.75"/>
  <cols>
    <col min="1" max="1" width="11.42578125" style="22"/>
    <col min="2" max="2" width="30" style="22" customWidth="1"/>
    <col min="3" max="3" width="21.28515625" style="22" customWidth="1"/>
    <col min="4" max="4" width="20.140625" style="22" customWidth="1"/>
    <col min="5" max="16384" width="11.42578125" style="22"/>
  </cols>
  <sheetData>
    <row r="2" spans="2:6" ht="15">
      <c r="B2" s="490" t="s">
        <v>562</v>
      </c>
      <c r="C2" s="490"/>
      <c r="D2" s="490"/>
    </row>
    <row r="3" spans="2:6" ht="37.5" customHeight="1" thickBot="1">
      <c r="B3" s="464" t="s">
        <v>688</v>
      </c>
      <c r="C3" s="464"/>
      <c r="D3" s="464"/>
    </row>
    <row r="4" spans="2:6" ht="39.75" thickTop="1" thickBot="1">
      <c r="B4" s="369" t="s">
        <v>651</v>
      </c>
      <c r="C4" s="369" t="s">
        <v>560</v>
      </c>
      <c r="D4" s="369" t="s">
        <v>561</v>
      </c>
    </row>
    <row r="5" spans="2:6" ht="14.25" thickTop="1" thickBot="1">
      <c r="B5" s="244" t="s">
        <v>103</v>
      </c>
      <c r="C5" s="417">
        <f>2450579+1443094+527623+560648+3148</f>
        <v>4985092</v>
      </c>
      <c r="D5" s="320">
        <f>SUM(D8:D13)</f>
        <v>1</v>
      </c>
      <c r="E5" s="136"/>
    </row>
    <row r="6" spans="2:6" ht="14.25" thickTop="1" thickBot="1">
      <c r="B6" s="244"/>
      <c r="C6" s="417"/>
      <c r="D6" s="320"/>
      <c r="E6" s="136"/>
    </row>
    <row r="7" spans="2:6" ht="14.25" thickTop="1" thickBot="1">
      <c r="B7" s="244" t="s">
        <v>115</v>
      </c>
      <c r="C7" s="417"/>
      <c r="D7" s="320"/>
      <c r="E7" s="136"/>
    </row>
    <row r="8" spans="2:6" ht="14.25" thickTop="1" thickBot="1">
      <c r="B8" s="244" t="s">
        <v>340</v>
      </c>
      <c r="C8" s="417">
        <f>1048626+1397299+527623+125840+1140</f>
        <v>3100528</v>
      </c>
      <c r="D8" s="320">
        <f t="shared" ref="D8:D13" si="0">+C8/$C$5</f>
        <v>0.62196003604346717</v>
      </c>
      <c r="E8" s="223"/>
      <c r="F8" s="27"/>
    </row>
    <row r="9" spans="2:6" ht="14.25" thickTop="1" thickBot="1">
      <c r="B9" s="244" t="s">
        <v>341</v>
      </c>
      <c r="C9" s="417">
        <f>196000+13520+169725+480</f>
        <v>379725</v>
      </c>
      <c r="D9" s="320">
        <f t="shared" si="0"/>
        <v>7.6172114777420363E-2</v>
      </c>
      <c r="E9" s="223"/>
      <c r="F9" s="27"/>
    </row>
    <row r="10" spans="2:6" ht="14.25" thickTop="1" thickBot="1">
      <c r="B10" s="244" t="s">
        <v>342</v>
      </c>
      <c r="C10" s="417">
        <f>251365+22148+19583</f>
        <v>293096</v>
      </c>
      <c r="D10" s="320">
        <f t="shared" si="0"/>
        <v>5.8794501686227657E-2</v>
      </c>
      <c r="E10" s="223"/>
      <c r="F10" s="27"/>
    </row>
    <row r="11" spans="2:6" ht="14.25" thickTop="1" thickBot="1">
      <c r="B11" s="244" t="s">
        <v>343</v>
      </c>
      <c r="C11" s="417">
        <f>358208+6249+333</f>
        <v>364790</v>
      </c>
      <c r="D11" s="320">
        <f t="shared" si="0"/>
        <v>7.3176182104562962E-2</v>
      </c>
      <c r="E11" s="223"/>
      <c r="F11" s="27"/>
    </row>
    <row r="12" spans="2:6" ht="14.25" thickTop="1" thickBot="1">
      <c r="B12" s="244" t="s">
        <v>344</v>
      </c>
      <c r="C12" s="417">
        <f>444496+861+436</f>
        <v>445793</v>
      </c>
      <c r="D12" s="320">
        <f t="shared" si="0"/>
        <v>8.942523026656278E-2</v>
      </c>
      <c r="E12" s="223"/>
      <c r="F12" s="27"/>
    </row>
    <row r="13" spans="2:6" ht="14.25" thickTop="1" thickBot="1">
      <c r="B13" s="244" t="s">
        <v>345</v>
      </c>
      <c r="C13" s="417">
        <f>151884+3017+245167+1092</f>
        <v>401160</v>
      </c>
      <c r="D13" s="320">
        <f t="shared" si="0"/>
        <v>8.0471935121759042E-2</v>
      </c>
      <c r="E13" s="223"/>
      <c r="F13" s="27"/>
    </row>
    <row r="14" spans="2:6" ht="13.5" thickTop="1">
      <c r="B14" s="246"/>
      <c r="C14" s="416"/>
      <c r="D14" s="270"/>
      <c r="E14" s="223"/>
      <c r="F14" s="27"/>
    </row>
    <row r="15" spans="2:6">
      <c r="B15" s="246" t="s">
        <v>607</v>
      </c>
      <c r="C15" s="416"/>
      <c r="D15" s="270"/>
      <c r="E15" s="223"/>
      <c r="F15" s="27"/>
    </row>
    <row r="16" spans="2:6">
      <c r="B16" s="246" t="s">
        <v>687</v>
      </c>
      <c r="C16" s="416">
        <f>1514004+1407037+490704+214878+1024</f>
        <v>3627647</v>
      </c>
      <c r="D16" s="270">
        <f>+C16/C5</f>
        <v>0.72769910765939727</v>
      </c>
      <c r="E16" s="223"/>
      <c r="F16" s="27"/>
    </row>
    <row r="17" spans="2:6">
      <c r="B17" s="246" t="s">
        <v>652</v>
      </c>
      <c r="C17" s="416">
        <f>936575+36057+36919+345770+2124</f>
        <v>1357445</v>
      </c>
      <c r="D17" s="270">
        <f>+C17/C5</f>
        <v>0.27230089234060273</v>
      </c>
      <c r="E17" s="223"/>
      <c r="F17" s="27"/>
    </row>
    <row r="18" spans="2:6" ht="15" thickBot="1">
      <c r="B18" s="370"/>
      <c r="C18" s="370"/>
      <c r="D18" s="370"/>
    </row>
    <row r="19" spans="2:6" ht="18" customHeight="1" thickTop="1" thickBot="1">
      <c r="B19" s="488" t="s">
        <v>513</v>
      </c>
      <c r="C19" s="489"/>
      <c r="D19" s="489"/>
    </row>
    <row r="20" spans="2:6" ht="13.5" thickTop="1"/>
    <row r="21" spans="2:6">
      <c r="C21" s="230"/>
      <c r="D21" s="189"/>
    </row>
    <row r="22" spans="2:6">
      <c r="C22" s="230"/>
      <c r="D22" s="229"/>
    </row>
    <row r="23" spans="2:6">
      <c r="C23" s="230"/>
    </row>
    <row r="24" spans="2:6">
      <c r="C24" s="230"/>
    </row>
    <row r="25" spans="2:6">
      <c r="C25" s="230"/>
    </row>
    <row r="26" spans="2:6">
      <c r="C26" s="230"/>
    </row>
  </sheetData>
  <mergeCells count="3">
    <mergeCell ref="B2:D2"/>
    <mergeCell ref="B3:D3"/>
    <mergeCell ref="B19:D19"/>
  </mergeCells>
  <hyperlinks>
    <hyperlink ref="B3:D3" location="'Capitulo 5'!B22" display="Población con acceso a electricidad, según región y zona. 2018." xr:uid="{00000000-0004-0000-4000-000000000000}"/>
  </hyperlinks>
  <pageMargins left="0.75" right="0.75" top="1" bottom="1" header="0" footer="0"/>
  <pageSetup orientation="portrait" verticalDpi="0" r:id="rId1"/>
  <headerFooter alignWithMargins="0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2:F30"/>
  <sheetViews>
    <sheetView showGridLines="0" workbookViewId="0">
      <pane ySplit="4" topLeftCell="A5" activePane="bottomLeft" state="frozen"/>
      <selection pane="bottomLeft" activeCell="C25" sqref="C25"/>
    </sheetView>
  </sheetViews>
  <sheetFormatPr baseColWidth="10" defaultRowHeight="12.75"/>
  <cols>
    <col min="1" max="1" width="11.42578125" style="22"/>
    <col min="2" max="2" width="30" style="22" customWidth="1"/>
    <col min="3" max="3" width="23" style="22" customWidth="1"/>
    <col min="4" max="4" width="22.140625" style="22" customWidth="1"/>
    <col min="5" max="16384" width="11.42578125" style="22"/>
  </cols>
  <sheetData>
    <row r="2" spans="2:6" ht="15">
      <c r="B2" s="490" t="s">
        <v>690</v>
      </c>
      <c r="C2" s="490"/>
      <c r="D2" s="490"/>
    </row>
    <row r="3" spans="2:6" ht="33.75" customHeight="1" thickBot="1">
      <c r="B3" s="464" t="s">
        <v>689</v>
      </c>
      <c r="C3" s="464"/>
      <c r="D3" s="464"/>
    </row>
    <row r="4" spans="2:6" ht="44.25" customHeight="1" thickTop="1" thickBot="1">
      <c r="B4" s="369" t="s">
        <v>651</v>
      </c>
      <c r="C4" s="369" t="s">
        <v>560</v>
      </c>
      <c r="D4" s="369" t="s">
        <v>561</v>
      </c>
    </row>
    <row r="5" spans="2:6" ht="14.25" thickTop="1" thickBot="1">
      <c r="B5" s="244" t="s">
        <v>103</v>
      </c>
      <c r="C5" s="417">
        <v>110231</v>
      </c>
      <c r="D5" s="320">
        <f>SUM(D8:D13)</f>
        <v>1</v>
      </c>
      <c r="E5" s="136"/>
    </row>
    <row r="6" spans="2:6" ht="14.25" thickTop="1" thickBot="1">
      <c r="B6" s="244"/>
      <c r="C6" s="417"/>
      <c r="D6" s="320"/>
      <c r="E6" s="136"/>
    </row>
    <row r="7" spans="2:6" ht="14.25" thickTop="1" thickBot="1">
      <c r="B7" s="244" t="s">
        <v>272</v>
      </c>
      <c r="C7" s="417"/>
      <c r="D7" s="320"/>
      <c r="E7" s="136"/>
    </row>
    <row r="8" spans="2:6" ht="14.25" thickTop="1" thickBot="1">
      <c r="B8" s="244" t="s">
        <v>340</v>
      </c>
      <c r="C8" s="417">
        <v>79391</v>
      </c>
      <c r="D8" s="320">
        <f t="shared" ref="D8:D13" si="0">+C8/$C$5</f>
        <v>0.72022389346009741</v>
      </c>
      <c r="E8" s="223"/>
      <c r="F8" s="27"/>
    </row>
    <row r="9" spans="2:6" ht="14.25" thickTop="1" thickBot="1">
      <c r="B9" s="244" t="s">
        <v>341</v>
      </c>
      <c r="C9" s="417">
        <v>3948</v>
      </c>
      <c r="D9" s="320">
        <f t="shared" si="0"/>
        <v>3.5815696129038108E-2</v>
      </c>
      <c r="E9" s="223"/>
      <c r="F9" s="27"/>
    </row>
    <row r="10" spans="2:6" ht="14.25" thickTop="1" thickBot="1">
      <c r="B10" s="244" t="s">
        <v>342</v>
      </c>
      <c r="C10" s="417">
        <v>6613</v>
      </c>
      <c r="D10" s="320">
        <f t="shared" si="0"/>
        <v>5.9992198201957704E-2</v>
      </c>
      <c r="E10" s="223"/>
      <c r="F10" s="27"/>
    </row>
    <row r="11" spans="2:6" ht="14.25" thickTop="1" thickBot="1">
      <c r="B11" s="244" t="s">
        <v>343</v>
      </c>
      <c r="C11" s="417">
        <v>222</v>
      </c>
      <c r="D11" s="320">
        <f t="shared" si="0"/>
        <v>2.0139525178942404E-3</v>
      </c>
      <c r="E11" s="223"/>
      <c r="F11" s="27"/>
    </row>
    <row r="12" spans="2:6" ht="14.25" thickTop="1" thickBot="1">
      <c r="B12" s="244" t="s">
        <v>344</v>
      </c>
      <c r="C12" s="417">
        <v>8598</v>
      </c>
      <c r="D12" s="320">
        <f t="shared" si="0"/>
        <v>7.7999836706552597E-2</v>
      </c>
      <c r="E12" s="223"/>
      <c r="F12" s="27"/>
    </row>
    <row r="13" spans="2:6" ht="14.25" thickTop="1" thickBot="1">
      <c r="B13" s="244" t="s">
        <v>345</v>
      </c>
      <c r="C13" s="417">
        <v>11459</v>
      </c>
      <c r="D13" s="320">
        <f t="shared" si="0"/>
        <v>0.10395442298445991</v>
      </c>
      <c r="E13" s="223"/>
      <c r="F13" s="27"/>
    </row>
    <row r="14" spans="2:6" ht="13.5" thickTop="1">
      <c r="B14" s="246"/>
      <c r="C14" s="416"/>
      <c r="D14" s="270"/>
      <c r="E14" s="223"/>
      <c r="F14" s="27"/>
    </row>
    <row r="15" spans="2:6">
      <c r="B15" s="246" t="s">
        <v>607</v>
      </c>
      <c r="C15" s="416"/>
      <c r="D15" s="270"/>
      <c r="E15" s="223"/>
      <c r="F15" s="27"/>
    </row>
    <row r="16" spans="2:6">
      <c r="B16" s="246" t="s">
        <v>685</v>
      </c>
      <c r="C16" s="416">
        <v>96671</v>
      </c>
      <c r="D16" s="270">
        <f>+C16/C5</f>
        <v>0.87698560296105454</v>
      </c>
      <c r="E16" s="223"/>
      <c r="F16" s="27"/>
    </row>
    <row r="17" spans="1:6">
      <c r="A17" s="22" t="s">
        <v>660</v>
      </c>
      <c r="B17" s="246" t="s">
        <v>652</v>
      </c>
      <c r="C17" s="416">
        <v>13560</v>
      </c>
      <c r="D17" s="270">
        <f>+C17/C5</f>
        <v>0.12301439703894548</v>
      </c>
      <c r="E17" s="223"/>
      <c r="F17" s="27"/>
    </row>
    <row r="18" spans="1:6" ht="15" thickBot="1">
      <c r="B18" s="370"/>
      <c r="C18" s="370"/>
      <c r="D18" s="370"/>
    </row>
    <row r="19" spans="1:6" ht="16.5" customHeight="1" thickTop="1" thickBot="1">
      <c r="B19" s="488" t="s">
        <v>513</v>
      </c>
      <c r="C19" s="489"/>
      <c r="D19" s="489"/>
    </row>
    <row r="20" spans="1:6" ht="13.5" thickTop="1"/>
    <row r="21" spans="1:6">
      <c r="C21" s="230"/>
      <c r="D21" s="189"/>
    </row>
    <row r="22" spans="1:6">
      <c r="C22" s="230"/>
      <c r="D22" s="229"/>
    </row>
    <row r="23" spans="1:6">
      <c r="C23" s="230"/>
    </row>
    <row r="24" spans="1:6">
      <c r="C24" s="230"/>
    </row>
    <row r="25" spans="1:6">
      <c r="C25" s="230"/>
    </row>
    <row r="26" spans="1:6">
      <c r="C26" s="230"/>
    </row>
    <row r="27" spans="1:6">
      <c r="C27" s="230"/>
    </row>
    <row r="28" spans="1:6">
      <c r="C28" s="230"/>
    </row>
    <row r="29" spans="1:6">
      <c r="C29" s="230"/>
    </row>
    <row r="30" spans="1:6">
      <c r="C30" s="230"/>
    </row>
  </sheetData>
  <mergeCells count="3">
    <mergeCell ref="B2:D2"/>
    <mergeCell ref="B3:D3"/>
    <mergeCell ref="B19:D19"/>
  </mergeCells>
  <hyperlinks>
    <hyperlink ref="B3:D3" location="'Capitulo 5'!B23" display="Población en asentamiento informal (precario), según región y zona. 2018." xr:uid="{00000000-0004-0000-4100-000000000000}"/>
  </hyperlinks>
  <pageMargins left="0.75" right="0.75" top="1" bottom="1" header="0" footer="0"/>
  <pageSetup orientation="portrait" verticalDpi="0" r:id="rId1"/>
  <headerFooter alignWithMargins="0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L30"/>
  <sheetViews>
    <sheetView showGridLines="0" workbookViewId="0">
      <pane ySplit="5" topLeftCell="A6" activePane="bottomLeft" state="frozen"/>
      <selection pane="bottomLeft" activeCell="Q3" sqref="Q3"/>
    </sheetView>
  </sheetViews>
  <sheetFormatPr baseColWidth="10" defaultRowHeight="12.75"/>
  <cols>
    <col min="2" max="2" width="31.5703125" bestFit="1" customWidth="1"/>
  </cols>
  <sheetData>
    <row r="1" spans="1:12" ht="13.5" thickBot="1">
      <c r="J1" s="390"/>
    </row>
    <row r="2" spans="1:12" ht="15.75" thickTop="1">
      <c r="A2" s="372"/>
      <c r="B2" s="592" t="s">
        <v>691</v>
      </c>
      <c r="C2" s="593"/>
      <c r="D2" s="593"/>
      <c r="E2" s="593"/>
      <c r="F2" s="593"/>
      <c r="G2" s="593"/>
      <c r="H2" s="593"/>
      <c r="I2" s="593"/>
      <c r="J2" s="593"/>
      <c r="K2" s="594"/>
      <c r="L2" s="373"/>
    </row>
    <row r="3" spans="1:12" ht="19.5" customHeight="1" thickBot="1">
      <c r="B3" s="587" t="s">
        <v>606</v>
      </c>
      <c r="C3" s="464"/>
      <c r="D3" s="464"/>
      <c r="E3" s="464"/>
      <c r="F3" s="464"/>
      <c r="G3" s="464"/>
      <c r="H3" s="464"/>
      <c r="I3" s="464"/>
      <c r="J3" s="464"/>
      <c r="K3" s="595"/>
      <c r="L3" s="373"/>
    </row>
    <row r="4" spans="1:12" ht="14.25" thickTop="1" thickBot="1">
      <c r="B4" s="596" t="s">
        <v>1061</v>
      </c>
      <c r="C4" s="598" t="s">
        <v>548</v>
      </c>
      <c r="D4" s="599"/>
      <c r="E4" s="599"/>
      <c r="F4" s="599"/>
      <c r="G4" s="599"/>
      <c r="H4" s="599"/>
      <c r="I4" s="599"/>
      <c r="J4" s="599"/>
      <c r="K4" s="600"/>
    </row>
    <row r="5" spans="1:12" ht="17.25" customHeight="1" thickBot="1">
      <c r="B5" s="597"/>
      <c r="C5" s="388">
        <v>2010</v>
      </c>
      <c r="D5" s="388">
        <v>2011</v>
      </c>
      <c r="E5" s="389">
        <v>2012</v>
      </c>
      <c r="F5" s="389">
        <v>2013</v>
      </c>
      <c r="G5" s="389">
        <v>2014</v>
      </c>
      <c r="H5" s="388">
        <v>2015</v>
      </c>
      <c r="I5" s="389">
        <v>2016</v>
      </c>
      <c r="J5" s="389">
        <v>2017</v>
      </c>
      <c r="K5" s="389">
        <v>2018</v>
      </c>
      <c r="L5" s="373"/>
    </row>
    <row r="6" spans="1:12" ht="17.25" customHeight="1" thickTop="1">
      <c r="B6" s="377" t="s">
        <v>103</v>
      </c>
      <c r="C6" s="379">
        <v>7.3307399999999996</v>
      </c>
      <c r="D6" s="379">
        <v>6.7701099999999999</v>
      </c>
      <c r="E6" s="378">
        <v>6.0535399999999999</v>
      </c>
      <c r="F6" s="378">
        <v>5.75793</v>
      </c>
      <c r="G6" s="378">
        <v>5.9019200000000005</v>
      </c>
      <c r="H6" s="379">
        <v>6.02982</v>
      </c>
      <c r="I6" s="380">
        <v>5.6397301673515772</v>
      </c>
      <c r="J6" s="380">
        <v>6.439726107992537</v>
      </c>
      <c r="K6" s="380">
        <v>5.0999999999999996</v>
      </c>
    </row>
    <row r="7" spans="1:12">
      <c r="B7" s="381"/>
      <c r="C7" s="382"/>
      <c r="D7" s="382"/>
      <c r="E7" s="382"/>
      <c r="F7" s="382"/>
      <c r="G7" s="382"/>
      <c r="H7" s="382"/>
      <c r="I7" s="386"/>
      <c r="J7" s="387"/>
      <c r="K7" s="387"/>
    </row>
    <row r="8" spans="1:12">
      <c r="B8" s="381" t="s">
        <v>607</v>
      </c>
      <c r="C8" s="378"/>
      <c r="D8" s="378"/>
      <c r="E8" s="378"/>
      <c r="F8" s="378"/>
      <c r="G8" s="378"/>
      <c r="H8" s="378"/>
      <c r="I8" s="380"/>
      <c r="J8" s="380"/>
      <c r="K8" s="380"/>
    </row>
    <row r="9" spans="1:12">
      <c r="B9" s="383" t="s">
        <v>608</v>
      </c>
      <c r="C9" s="378">
        <v>4.9939600000000004</v>
      </c>
      <c r="D9" s="378">
        <v>4.6844200000000003</v>
      </c>
      <c r="E9" s="378">
        <v>4.0662399999999987</v>
      </c>
      <c r="F9" s="378">
        <v>3.8089300000000001</v>
      </c>
      <c r="G9" s="378">
        <v>4.0748699999999998</v>
      </c>
      <c r="H9" s="378">
        <v>4.4874799999999997</v>
      </c>
      <c r="I9" s="384">
        <v>4.1335974893865464</v>
      </c>
      <c r="J9" s="384">
        <v>4.9733258758411489</v>
      </c>
      <c r="K9" s="384">
        <v>3.8</v>
      </c>
    </row>
    <row r="10" spans="1:12">
      <c r="B10" s="383" t="s">
        <v>609</v>
      </c>
      <c r="C10" s="378">
        <v>13.916019999999996</v>
      </c>
      <c r="D10" s="378">
        <v>12.599020000000003</v>
      </c>
      <c r="E10" s="378">
        <v>11.628570000000003</v>
      </c>
      <c r="F10" s="378">
        <v>11.244640000000002</v>
      </c>
      <c r="G10" s="378">
        <v>10.899219999999998</v>
      </c>
      <c r="H10" s="378">
        <v>10.114560000000001</v>
      </c>
      <c r="I10" s="384">
        <v>9.6820997985127963</v>
      </c>
      <c r="J10" s="384">
        <v>10.319468137162529</v>
      </c>
      <c r="K10" s="384">
        <v>8.5</v>
      </c>
    </row>
    <row r="11" spans="1:12">
      <c r="B11" s="381"/>
      <c r="C11" s="385"/>
      <c r="D11" s="378"/>
      <c r="E11" s="378"/>
      <c r="F11" s="378"/>
      <c r="G11" s="378"/>
      <c r="H11" s="378"/>
      <c r="I11" s="386"/>
      <c r="J11" s="387"/>
      <c r="K11" s="387"/>
    </row>
    <row r="12" spans="1:12">
      <c r="B12" s="381" t="s">
        <v>272</v>
      </c>
      <c r="C12" s="378"/>
      <c r="D12" s="378"/>
      <c r="E12" s="378"/>
      <c r="F12" s="378"/>
      <c r="G12" s="378"/>
      <c r="H12" s="378"/>
      <c r="I12" s="380"/>
      <c r="J12" s="380"/>
      <c r="K12" s="380"/>
    </row>
    <row r="13" spans="1:12">
      <c r="B13" s="383" t="s">
        <v>139</v>
      </c>
      <c r="C13" s="378">
        <v>4.8255500000000016</v>
      </c>
      <c r="D13" s="378">
        <v>4.6288800000000005</v>
      </c>
      <c r="E13" s="378">
        <v>4.0370499999999998</v>
      </c>
      <c r="F13" s="378">
        <v>3.6519599999999999</v>
      </c>
      <c r="G13" s="378">
        <v>3.9279800000000011</v>
      </c>
      <c r="H13" s="378">
        <v>4.1886200000000002</v>
      </c>
      <c r="I13" s="384">
        <v>3.9762759663588505</v>
      </c>
      <c r="J13" s="384">
        <v>4.6577770941571046</v>
      </c>
      <c r="K13" s="384">
        <v>3.4</v>
      </c>
    </row>
    <row r="14" spans="1:12">
      <c r="B14" s="383" t="s">
        <v>117</v>
      </c>
      <c r="C14" s="378">
        <v>11.259790000000001</v>
      </c>
      <c r="D14" s="378">
        <v>10.90888</v>
      </c>
      <c r="E14" s="378">
        <v>10.022250000000001</v>
      </c>
      <c r="F14" s="378">
        <v>9.0386899999999972</v>
      </c>
      <c r="G14" s="378">
        <v>9.1090599999999977</v>
      </c>
      <c r="H14" s="378">
        <v>7.5735899999999994</v>
      </c>
      <c r="I14" s="384">
        <v>6.7243669463371427</v>
      </c>
      <c r="J14" s="384">
        <v>6.6240682141098253</v>
      </c>
      <c r="K14" s="384">
        <v>5.9</v>
      </c>
    </row>
    <row r="15" spans="1:12">
      <c r="B15" s="383" t="s">
        <v>118</v>
      </c>
      <c r="C15" s="378">
        <v>9.564449999999999</v>
      </c>
      <c r="D15" s="378">
        <v>8.1544300000000014</v>
      </c>
      <c r="E15" s="378">
        <v>7.0323500000000001</v>
      </c>
      <c r="F15" s="378">
        <v>7.83223</v>
      </c>
      <c r="G15" s="378">
        <v>7.0095900000000002</v>
      </c>
      <c r="H15" s="378">
        <v>7.2279899999999992</v>
      </c>
      <c r="I15" s="384">
        <v>7.1297183119505769</v>
      </c>
      <c r="J15" s="384">
        <v>8.8109442062560852</v>
      </c>
      <c r="K15" s="384">
        <v>7.1</v>
      </c>
    </row>
    <row r="16" spans="1:12">
      <c r="B16" s="383" t="s">
        <v>119</v>
      </c>
      <c r="C16" s="378">
        <v>11.14785</v>
      </c>
      <c r="D16" s="378">
        <v>10.365790000000001</v>
      </c>
      <c r="E16" s="378">
        <v>9.153789999999999</v>
      </c>
      <c r="F16" s="378">
        <v>9.1938099999999974</v>
      </c>
      <c r="G16" s="378">
        <v>9.0586600000000015</v>
      </c>
      <c r="H16" s="378">
        <v>8.1466700000000003</v>
      </c>
      <c r="I16" s="384">
        <v>6.8718256857395943</v>
      </c>
      <c r="J16" s="384">
        <v>8.2627121752270192</v>
      </c>
      <c r="K16" s="384">
        <v>6.9</v>
      </c>
    </row>
    <row r="17" spans="2:11">
      <c r="B17" s="383" t="s">
        <v>275</v>
      </c>
      <c r="C17" s="378">
        <v>12.501189999999998</v>
      </c>
      <c r="D17" s="378">
        <v>10.836829999999999</v>
      </c>
      <c r="E17" s="378">
        <v>10.098460000000001</v>
      </c>
      <c r="F17" s="378">
        <v>9.6015899999999998</v>
      </c>
      <c r="G17" s="378">
        <v>10.12947</v>
      </c>
      <c r="H17" s="378">
        <v>10.90869</v>
      </c>
      <c r="I17" s="384">
        <v>10.308451224383678</v>
      </c>
      <c r="J17" s="384">
        <v>10.8256401127563</v>
      </c>
      <c r="K17" s="384">
        <v>9.8000000000000007</v>
      </c>
    </row>
    <row r="18" spans="2:11">
      <c r="B18" s="383" t="s">
        <v>120</v>
      </c>
      <c r="C18" s="378">
        <v>12.919059999999998</v>
      </c>
      <c r="D18" s="378">
        <v>11.025199999999998</v>
      </c>
      <c r="E18" s="378">
        <v>10.395139999999998</v>
      </c>
      <c r="F18" s="378">
        <v>10.65282</v>
      </c>
      <c r="G18" s="378">
        <v>9.5269000000000013</v>
      </c>
      <c r="H18" s="378">
        <v>10.40802</v>
      </c>
      <c r="I18" s="384">
        <v>10.208568677330797</v>
      </c>
      <c r="J18" s="384">
        <v>11.680620426835647</v>
      </c>
      <c r="K18" s="384">
        <v>9.3000000000000007</v>
      </c>
    </row>
    <row r="19" spans="2:11">
      <c r="B19" s="374"/>
      <c r="C19" s="375"/>
      <c r="D19" s="376"/>
      <c r="E19" s="376"/>
      <c r="F19" s="376"/>
      <c r="G19" s="376"/>
      <c r="H19" s="376"/>
      <c r="I19" s="376"/>
      <c r="J19" s="376"/>
      <c r="K19" s="376"/>
    </row>
    <row r="20" spans="2:11">
      <c r="B20" s="601" t="s">
        <v>637</v>
      </c>
      <c r="C20" s="601"/>
      <c r="D20" s="601"/>
      <c r="E20" s="601"/>
      <c r="F20" s="601"/>
      <c r="G20" s="601"/>
      <c r="H20" s="601"/>
      <c r="I20" s="601"/>
      <c r="J20" s="601"/>
      <c r="K20" s="601"/>
    </row>
    <row r="29" spans="2:11" ht="13.5" thickBot="1"/>
    <row r="30" spans="2:11" ht="13.5" thickTop="1">
      <c r="K30" s="395"/>
    </row>
  </sheetData>
  <mergeCells count="5">
    <mergeCell ref="B2:K2"/>
    <mergeCell ref="B3:K3"/>
    <mergeCell ref="B4:B5"/>
    <mergeCell ref="C4:K4"/>
    <mergeCell ref="B20:K20"/>
  </mergeCells>
  <hyperlinks>
    <hyperlink ref="B3:K3" location="'Capitulo 5'!B24" display="Índice de Pobreza Multidimensional (IPM) de los hogares, según zona y región. 2010-2018." xr:uid="{00000000-0004-0000-4200-000000000000}"/>
  </hyperlinks>
  <pageMargins left="0.7" right="0.7" top="0.75" bottom="0.75" header="0.3" footer="0.3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B2:E24"/>
  <sheetViews>
    <sheetView showGridLines="0" workbookViewId="0">
      <selection activeCell="B3" sqref="B3:C3"/>
    </sheetView>
  </sheetViews>
  <sheetFormatPr baseColWidth="10" defaultRowHeight="12.75"/>
  <cols>
    <col min="1" max="1" width="11.42578125" style="22"/>
    <col min="2" max="2" width="42.85546875" style="22" customWidth="1"/>
    <col min="3" max="3" width="23.7109375" style="22" customWidth="1"/>
    <col min="4" max="16384" width="11.42578125" style="22"/>
  </cols>
  <sheetData>
    <row r="2" spans="2:3" ht="15">
      <c r="B2" s="490" t="s">
        <v>692</v>
      </c>
      <c r="C2" s="490"/>
    </row>
    <row r="3" spans="2:3" ht="48" customHeight="1" thickBot="1">
      <c r="B3" s="482" t="s">
        <v>604</v>
      </c>
      <c r="C3" s="482"/>
    </row>
    <row r="4" spans="2:3" ht="18.75" customHeight="1" thickTop="1" thickBot="1">
      <c r="B4" s="392" t="s">
        <v>636</v>
      </c>
      <c r="C4" s="393" t="s">
        <v>547</v>
      </c>
    </row>
    <row r="5" spans="2:3" ht="14.25" thickTop="1" thickBot="1">
      <c r="B5" s="244" t="s">
        <v>548</v>
      </c>
      <c r="C5" s="394">
        <v>5.0999999999999996</v>
      </c>
    </row>
    <row r="6" spans="2:3" ht="14.25" thickTop="1" thickBot="1">
      <c r="B6" s="244"/>
      <c r="C6" s="394"/>
    </row>
    <row r="7" spans="2:3" ht="14.25" thickTop="1" thickBot="1">
      <c r="B7" s="244" t="s">
        <v>549</v>
      </c>
      <c r="C7" s="276"/>
    </row>
    <row r="8" spans="2:3" ht="14.25" thickTop="1" thickBot="1">
      <c r="B8" s="244"/>
      <c r="C8" s="276"/>
    </row>
    <row r="9" spans="2:3" ht="14.25" thickTop="1" thickBot="1">
      <c r="B9" s="244" t="s">
        <v>103</v>
      </c>
      <c r="C9" s="394">
        <v>1.4</v>
      </c>
    </row>
    <row r="10" spans="2:3" ht="14.25" thickTop="1" thickBot="1">
      <c r="B10" s="244" t="s">
        <v>340</v>
      </c>
      <c r="C10" s="394">
        <v>0.9</v>
      </c>
    </row>
    <row r="11" spans="2:3" ht="14.25" thickTop="1" thickBot="1">
      <c r="B11" s="244" t="s">
        <v>341</v>
      </c>
      <c r="C11" s="394">
        <v>1.6</v>
      </c>
    </row>
    <row r="12" spans="2:3" ht="14.25" thickTop="1" thickBot="1">
      <c r="B12" s="244" t="s">
        <v>342</v>
      </c>
      <c r="C12" s="394">
        <v>2.2000000000000002</v>
      </c>
    </row>
    <row r="13" spans="2:3" ht="14.25" thickTop="1" thickBot="1">
      <c r="B13" s="244" t="s">
        <v>343</v>
      </c>
      <c r="C13" s="394">
        <v>1.9</v>
      </c>
    </row>
    <row r="14" spans="2:3" ht="14.25" thickTop="1" thickBot="1">
      <c r="B14" s="244" t="s">
        <v>344</v>
      </c>
      <c r="C14" s="394">
        <v>2.8</v>
      </c>
    </row>
    <row r="15" spans="2:3" ht="14.25" thickTop="1" thickBot="1">
      <c r="B15" s="244" t="s">
        <v>345</v>
      </c>
      <c r="C15" s="394">
        <v>2.2999999999999998</v>
      </c>
    </row>
    <row r="16" spans="2:3" ht="15" thickTop="1">
      <c r="B16" s="275"/>
      <c r="C16" s="391"/>
    </row>
    <row r="17" spans="2:5" ht="13.5" thickBot="1">
      <c r="B17" s="602" t="s">
        <v>550</v>
      </c>
      <c r="C17" s="603"/>
    </row>
    <row r="18" spans="2:5" ht="13.5" thickTop="1">
      <c r="C18" s="224"/>
    </row>
    <row r="20" spans="2:5">
      <c r="C20" s="27"/>
    </row>
    <row r="24" spans="2:5">
      <c r="E24" s="225"/>
    </row>
  </sheetData>
  <mergeCells count="3">
    <mergeCell ref="B2:C2"/>
    <mergeCell ref="B3:C3"/>
    <mergeCell ref="B17:C17"/>
  </mergeCells>
  <hyperlinks>
    <hyperlink ref="B3:C3" location="'Capitulo 5'!B25" display="Índice de Pobreza Multidimensional (IPM) y la contribución absoluta de la dimensión Vivienda e Internet, según región. 2018." xr:uid="{00000000-0004-0000-4300-000000000000}"/>
  </hyperlinks>
  <pageMargins left="0.75" right="0.75" top="1" bottom="1" header="0" footer="0"/>
  <pageSetup orientation="portrait" verticalDpi="0" r:id="rId1"/>
  <headerFooter alignWithMargins="0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B1:K47"/>
  <sheetViews>
    <sheetView showGridLines="0" workbookViewId="0">
      <pane ySplit="5" topLeftCell="A6" activePane="bottomLeft" state="frozen"/>
      <selection pane="bottomLeft"/>
    </sheetView>
  </sheetViews>
  <sheetFormatPr baseColWidth="10" defaultRowHeight="12.75"/>
  <cols>
    <col min="2" max="2" width="54" bestFit="1" customWidth="1"/>
    <col min="3" max="8" width="11.5703125" bestFit="1" customWidth="1"/>
    <col min="9" max="10" width="12.28515625" bestFit="1" customWidth="1"/>
    <col min="11" max="11" width="12.42578125" bestFit="1" customWidth="1"/>
  </cols>
  <sheetData>
    <row r="1" spans="2:11" ht="13.5" thickBot="1"/>
    <row r="2" spans="2:11" ht="15">
      <c r="B2" s="604" t="s">
        <v>703</v>
      </c>
      <c r="C2" s="605"/>
      <c r="D2" s="605"/>
      <c r="E2" s="605"/>
      <c r="F2" s="605"/>
      <c r="G2" s="605"/>
      <c r="H2" s="605"/>
      <c r="I2" s="605"/>
      <c r="J2" s="605"/>
      <c r="K2" s="606"/>
    </row>
    <row r="3" spans="2:11" ht="24.75" customHeight="1" thickBot="1">
      <c r="B3" s="607" t="s">
        <v>610</v>
      </c>
      <c r="C3" s="464"/>
      <c r="D3" s="464"/>
      <c r="E3" s="464"/>
      <c r="F3" s="464"/>
      <c r="G3" s="464"/>
      <c r="H3" s="464"/>
      <c r="I3" s="464"/>
      <c r="J3" s="464"/>
      <c r="K3" s="608"/>
    </row>
    <row r="4" spans="2:11" ht="20.25" customHeight="1" thickBot="1">
      <c r="B4" s="609" t="s">
        <v>638</v>
      </c>
      <c r="C4" s="611" t="s">
        <v>611</v>
      </c>
      <c r="D4" s="611"/>
      <c r="E4" s="611"/>
      <c r="F4" s="611"/>
      <c r="G4" s="611"/>
      <c r="H4" s="611"/>
      <c r="I4" s="611"/>
      <c r="J4" s="611"/>
      <c r="K4" s="612"/>
    </row>
    <row r="5" spans="2:11" ht="13.5" thickBot="1">
      <c r="B5" s="610"/>
      <c r="C5" s="398">
        <v>2010</v>
      </c>
      <c r="D5" s="398">
        <v>2011</v>
      </c>
      <c r="E5" s="398">
        <v>2012</v>
      </c>
      <c r="F5" s="398">
        <v>2013</v>
      </c>
      <c r="G5" s="398">
        <v>2014</v>
      </c>
      <c r="H5" s="398">
        <v>2015</v>
      </c>
      <c r="I5" s="398">
        <v>2016</v>
      </c>
      <c r="J5" s="398">
        <v>2017</v>
      </c>
      <c r="K5" s="399">
        <v>2018</v>
      </c>
    </row>
    <row r="6" spans="2:11">
      <c r="B6" s="381"/>
      <c r="C6" s="375"/>
      <c r="D6" s="375"/>
      <c r="E6" s="375"/>
      <c r="F6" s="375"/>
      <c r="G6" s="375"/>
      <c r="H6" s="375"/>
      <c r="I6" s="396"/>
      <c r="J6" s="376"/>
      <c r="K6" s="376"/>
    </row>
    <row r="7" spans="2:11">
      <c r="B7" s="381" t="s">
        <v>612</v>
      </c>
      <c r="C7" s="426">
        <v>333822</v>
      </c>
      <c r="D7" s="426">
        <v>319355</v>
      </c>
      <c r="E7" s="426">
        <v>295060</v>
      </c>
      <c r="F7" s="426">
        <v>288057</v>
      </c>
      <c r="G7" s="426">
        <v>308837</v>
      </c>
      <c r="H7" s="426">
        <v>318421</v>
      </c>
      <c r="I7" s="426">
        <v>306854</v>
      </c>
      <c r="J7" s="426">
        <v>286852</v>
      </c>
      <c r="K7" s="426">
        <v>298630</v>
      </c>
    </row>
    <row r="8" spans="2:11">
      <c r="B8" s="381"/>
      <c r="C8" s="427"/>
      <c r="D8" s="428"/>
      <c r="E8" s="428"/>
      <c r="F8" s="428"/>
      <c r="G8" s="428"/>
      <c r="H8" s="428"/>
      <c r="I8" s="429"/>
      <c r="J8" s="430"/>
      <c r="K8" s="430"/>
    </row>
    <row r="9" spans="2:11">
      <c r="B9" s="400" t="s">
        <v>613</v>
      </c>
      <c r="C9" s="431"/>
      <c r="D9" s="431"/>
      <c r="E9" s="431"/>
      <c r="F9" s="431"/>
      <c r="G9" s="431"/>
      <c r="H9" s="431"/>
      <c r="I9" s="432"/>
      <c r="J9" s="430"/>
      <c r="K9" s="430"/>
    </row>
    <row r="10" spans="2:11">
      <c r="B10" s="400"/>
      <c r="C10" s="431"/>
      <c r="D10" s="431"/>
      <c r="E10" s="431"/>
      <c r="F10" s="431"/>
      <c r="G10" s="431"/>
      <c r="H10" s="431"/>
      <c r="I10" s="432"/>
      <c r="J10" s="430"/>
      <c r="K10" s="430"/>
    </row>
    <row r="11" spans="2:11">
      <c r="B11" s="401" t="s">
        <v>614</v>
      </c>
      <c r="C11" s="431">
        <v>68412</v>
      </c>
      <c r="D11" s="431">
        <v>53723</v>
      </c>
      <c r="E11" s="431">
        <v>43948</v>
      </c>
      <c r="F11" s="431">
        <v>42523</v>
      </c>
      <c r="G11" s="431">
        <v>37708</v>
      </c>
      <c r="H11" s="431">
        <v>40953</v>
      </c>
      <c r="I11" s="433">
        <v>37478</v>
      </c>
      <c r="J11" s="433">
        <v>37179</v>
      </c>
      <c r="K11" s="433">
        <v>28525</v>
      </c>
    </row>
    <row r="12" spans="2:11">
      <c r="B12" s="401" t="s">
        <v>615</v>
      </c>
      <c r="C12" s="431">
        <v>60518</v>
      </c>
      <c r="D12" s="431">
        <v>50300</v>
      </c>
      <c r="E12" s="431">
        <v>51323</v>
      </c>
      <c r="F12" s="431">
        <v>46612</v>
      </c>
      <c r="G12" s="431">
        <v>50374</v>
      </c>
      <c r="H12" s="431">
        <v>49586</v>
      </c>
      <c r="I12" s="433">
        <v>46854</v>
      </c>
      <c r="J12" s="433">
        <v>40895</v>
      </c>
      <c r="K12" s="433">
        <v>38614</v>
      </c>
    </row>
    <row r="13" spans="2:11">
      <c r="B13" s="401" t="s">
        <v>616</v>
      </c>
      <c r="C13" s="431">
        <v>115411</v>
      </c>
      <c r="D13" s="431">
        <v>111092</v>
      </c>
      <c r="E13" s="431">
        <v>105419</v>
      </c>
      <c r="F13" s="431">
        <v>102660</v>
      </c>
      <c r="G13" s="431">
        <v>100869</v>
      </c>
      <c r="H13" s="431">
        <v>106372</v>
      </c>
      <c r="I13" s="433">
        <v>96174</v>
      </c>
      <c r="J13" s="433">
        <v>88443</v>
      </c>
      <c r="K13" s="433">
        <v>86857</v>
      </c>
    </row>
    <row r="14" spans="2:11">
      <c r="B14" s="401" t="s">
        <v>617</v>
      </c>
      <c r="C14" s="431">
        <v>191651</v>
      </c>
      <c r="D14" s="431">
        <v>201690</v>
      </c>
      <c r="E14" s="431">
        <v>178445</v>
      </c>
      <c r="F14" s="431">
        <v>183795</v>
      </c>
      <c r="G14" s="431">
        <v>184078</v>
      </c>
      <c r="H14" s="431">
        <v>195012</v>
      </c>
      <c r="I14" s="433">
        <v>186766</v>
      </c>
      <c r="J14" s="433">
        <v>173187</v>
      </c>
      <c r="K14" s="433">
        <v>189372</v>
      </c>
    </row>
    <row r="15" spans="2:11">
      <c r="B15" s="402"/>
      <c r="C15" s="431"/>
      <c r="D15" s="431"/>
      <c r="E15" s="431"/>
      <c r="F15" s="431"/>
      <c r="G15" s="431"/>
      <c r="H15" s="431"/>
      <c r="I15" s="432"/>
      <c r="J15" s="430"/>
      <c r="K15" s="430"/>
    </row>
    <row r="16" spans="2:11">
      <c r="B16" s="400" t="s">
        <v>618</v>
      </c>
      <c r="C16" s="431"/>
      <c r="D16" s="431"/>
      <c r="E16" s="431"/>
      <c r="F16" s="431"/>
      <c r="G16" s="431"/>
      <c r="H16" s="431"/>
      <c r="I16" s="433"/>
      <c r="J16" s="430"/>
      <c r="K16" s="430"/>
    </row>
    <row r="17" spans="2:11">
      <c r="B17" s="400"/>
      <c r="C17" s="431"/>
      <c r="D17" s="431"/>
      <c r="E17" s="431"/>
      <c r="F17" s="431"/>
      <c r="G17" s="431"/>
      <c r="H17" s="431"/>
      <c r="I17" s="433"/>
      <c r="J17" s="430"/>
      <c r="K17" s="430"/>
    </row>
    <row r="18" spans="2:11">
      <c r="B18" s="401" t="s">
        <v>619</v>
      </c>
      <c r="C18" s="431">
        <v>196575</v>
      </c>
      <c r="D18" s="431">
        <v>183301</v>
      </c>
      <c r="E18" s="431">
        <v>171378</v>
      </c>
      <c r="F18" s="431">
        <v>167808</v>
      </c>
      <c r="G18" s="431">
        <v>184482</v>
      </c>
      <c r="H18" s="431">
        <v>200498</v>
      </c>
      <c r="I18" s="433">
        <v>194597</v>
      </c>
      <c r="J18" s="433">
        <v>184670</v>
      </c>
      <c r="K18" s="433">
        <v>187473</v>
      </c>
    </row>
    <row r="19" spans="2:11">
      <c r="B19" s="401" t="s">
        <v>620</v>
      </c>
      <c r="C19" s="431">
        <v>75719</v>
      </c>
      <c r="D19" s="431">
        <v>63199</v>
      </c>
      <c r="E19" s="431">
        <v>58125</v>
      </c>
      <c r="F19" s="431">
        <v>59265</v>
      </c>
      <c r="G19" s="431">
        <v>59844</v>
      </c>
      <c r="H19" s="431">
        <v>61092</v>
      </c>
      <c r="I19" s="433">
        <v>57551</v>
      </c>
      <c r="J19" s="433">
        <v>60392</v>
      </c>
      <c r="K19" s="433">
        <v>55599</v>
      </c>
    </row>
    <row r="20" spans="2:11">
      <c r="B20" s="401" t="s">
        <v>621</v>
      </c>
      <c r="C20" s="431">
        <v>56369</v>
      </c>
      <c r="D20" s="431">
        <v>39128</v>
      </c>
      <c r="E20" s="431">
        <v>32732</v>
      </c>
      <c r="F20" s="431">
        <v>32139</v>
      </c>
      <c r="G20" s="431">
        <v>28042</v>
      </c>
      <c r="H20" s="431">
        <v>33556</v>
      </c>
      <c r="I20" s="433">
        <v>34316</v>
      </c>
      <c r="J20" s="433">
        <v>29689</v>
      </c>
      <c r="K20" s="433">
        <v>28852</v>
      </c>
    </row>
    <row r="21" spans="2:11">
      <c r="B21" s="401" t="s">
        <v>622</v>
      </c>
      <c r="C21" s="431">
        <v>69734</v>
      </c>
      <c r="D21" s="431">
        <v>82920</v>
      </c>
      <c r="E21" s="431">
        <v>77948</v>
      </c>
      <c r="F21" s="431">
        <v>71343</v>
      </c>
      <c r="G21" s="431">
        <v>76991</v>
      </c>
      <c r="H21" s="431">
        <v>90861</v>
      </c>
      <c r="I21" s="433">
        <v>83921</v>
      </c>
      <c r="J21" s="433">
        <v>77235</v>
      </c>
      <c r="K21" s="433">
        <v>78903</v>
      </c>
    </row>
    <row r="22" spans="2:11">
      <c r="B22" s="401"/>
      <c r="C22" s="431"/>
      <c r="D22" s="431"/>
      <c r="E22" s="431"/>
      <c r="F22" s="431"/>
      <c r="G22" s="431"/>
      <c r="H22" s="431"/>
      <c r="I22" s="433"/>
      <c r="J22" s="430"/>
      <c r="K22" s="430"/>
    </row>
    <row r="23" spans="2:11">
      <c r="B23" s="400" t="s">
        <v>623</v>
      </c>
      <c r="C23" s="431"/>
      <c r="D23" s="431"/>
      <c r="E23" s="431"/>
      <c r="F23" s="431"/>
      <c r="G23" s="431"/>
      <c r="H23" s="431"/>
      <c r="I23" s="433"/>
      <c r="J23" s="430"/>
      <c r="K23" s="430"/>
    </row>
    <row r="24" spans="2:11">
      <c r="B24" s="400"/>
      <c r="C24" s="431"/>
      <c r="D24" s="431"/>
      <c r="E24" s="431"/>
      <c r="F24" s="431"/>
      <c r="G24" s="431"/>
      <c r="H24" s="431"/>
      <c r="I24" s="433"/>
      <c r="J24" s="430"/>
      <c r="K24" s="430"/>
    </row>
    <row r="25" spans="2:11">
      <c r="B25" s="401" t="s">
        <v>624</v>
      </c>
      <c r="C25" s="431">
        <v>128161</v>
      </c>
      <c r="D25" s="431">
        <v>132580</v>
      </c>
      <c r="E25" s="431">
        <v>121810</v>
      </c>
      <c r="F25" s="431">
        <v>125124</v>
      </c>
      <c r="G25" s="431">
        <v>136648</v>
      </c>
      <c r="H25" s="431">
        <v>136111</v>
      </c>
      <c r="I25" s="433">
        <v>136111</v>
      </c>
      <c r="J25" s="433">
        <v>132903</v>
      </c>
      <c r="K25" s="433">
        <v>134358</v>
      </c>
    </row>
    <row r="26" spans="2:11">
      <c r="B26" s="401" t="s">
        <v>625</v>
      </c>
      <c r="C26" s="431">
        <v>105525</v>
      </c>
      <c r="D26" s="431">
        <v>103178</v>
      </c>
      <c r="E26" s="431">
        <v>100687</v>
      </c>
      <c r="F26" s="431">
        <v>100733</v>
      </c>
      <c r="G26" s="431">
        <v>112605</v>
      </c>
      <c r="H26" s="431">
        <v>109423</v>
      </c>
      <c r="I26" s="433">
        <v>105253</v>
      </c>
      <c r="J26" s="433">
        <v>106308</v>
      </c>
      <c r="K26" s="433">
        <v>106240</v>
      </c>
    </row>
    <row r="27" spans="2:11">
      <c r="B27" s="401" t="s">
        <v>626</v>
      </c>
      <c r="C27" s="431">
        <v>115129</v>
      </c>
      <c r="D27" s="431">
        <v>119573</v>
      </c>
      <c r="E27" s="431">
        <v>105747</v>
      </c>
      <c r="F27" s="431">
        <v>84050</v>
      </c>
      <c r="G27" s="431">
        <v>91715</v>
      </c>
      <c r="H27" s="431">
        <v>92054</v>
      </c>
      <c r="I27" s="433">
        <v>91391</v>
      </c>
      <c r="J27" s="433">
        <v>81892</v>
      </c>
      <c r="K27" s="433">
        <v>95702</v>
      </c>
    </row>
    <row r="28" spans="2:11" ht="15">
      <c r="B28" s="383" t="s">
        <v>1100</v>
      </c>
      <c r="C28" s="431">
        <v>236709</v>
      </c>
      <c r="D28" s="431">
        <v>208827</v>
      </c>
      <c r="E28" s="431">
        <v>165756</v>
      </c>
      <c r="F28" s="431">
        <v>155532</v>
      </c>
      <c r="G28" s="431">
        <v>144618</v>
      </c>
      <c r="H28" s="431">
        <v>158864</v>
      </c>
      <c r="I28" s="433">
        <v>125363</v>
      </c>
      <c r="J28" s="433">
        <v>98264</v>
      </c>
      <c r="K28" s="433">
        <v>90079</v>
      </c>
    </row>
    <row r="29" spans="2:11">
      <c r="B29" s="401"/>
      <c r="C29" s="431"/>
      <c r="D29" s="431"/>
      <c r="E29" s="431"/>
      <c r="F29" s="431"/>
      <c r="G29" s="431"/>
      <c r="H29" s="431"/>
      <c r="I29" s="433"/>
      <c r="J29" s="430"/>
      <c r="K29" s="430"/>
    </row>
    <row r="30" spans="2:11">
      <c r="B30" s="400" t="s">
        <v>627</v>
      </c>
      <c r="C30" s="431"/>
      <c r="D30" s="431"/>
      <c r="E30" s="431"/>
      <c r="F30" s="431"/>
      <c r="G30" s="431"/>
      <c r="H30" s="431"/>
      <c r="I30" s="433"/>
      <c r="J30" s="430"/>
      <c r="K30" s="430"/>
    </row>
    <row r="31" spans="2:11">
      <c r="B31" s="400"/>
      <c r="C31" s="431"/>
      <c r="D31" s="431"/>
      <c r="E31" s="431"/>
      <c r="F31" s="431"/>
      <c r="G31" s="431"/>
      <c r="H31" s="431"/>
      <c r="I31" s="433"/>
      <c r="J31" s="430"/>
      <c r="K31" s="430"/>
    </row>
    <row r="32" spans="2:11">
      <c r="B32" s="401" t="s">
        <v>628</v>
      </c>
      <c r="C32" s="431">
        <v>24284</v>
      </c>
      <c r="D32" s="431">
        <v>22118</v>
      </c>
      <c r="E32" s="431">
        <v>23588</v>
      </c>
      <c r="F32" s="431">
        <v>30631</v>
      </c>
      <c r="G32" s="431">
        <v>36778</v>
      </c>
      <c r="H32" s="431">
        <v>34423</v>
      </c>
      <c r="I32" s="433">
        <v>32919</v>
      </c>
      <c r="J32" s="433">
        <v>26867</v>
      </c>
      <c r="K32" s="433">
        <v>32473</v>
      </c>
    </row>
    <row r="33" spans="2:11">
      <c r="B33" s="401" t="s">
        <v>629</v>
      </c>
      <c r="C33" s="431">
        <v>86273</v>
      </c>
      <c r="D33" s="431">
        <v>83693</v>
      </c>
      <c r="E33" s="431">
        <v>78271</v>
      </c>
      <c r="F33" s="431">
        <v>73595</v>
      </c>
      <c r="G33" s="431">
        <v>82883</v>
      </c>
      <c r="H33" s="431">
        <v>87244</v>
      </c>
      <c r="I33" s="433">
        <v>91720</v>
      </c>
      <c r="J33" s="433">
        <v>80143</v>
      </c>
      <c r="K33" s="433">
        <v>76944</v>
      </c>
    </row>
    <row r="34" spans="2:11">
      <c r="B34" s="401" t="s">
        <v>630</v>
      </c>
      <c r="C34" s="431">
        <v>150257</v>
      </c>
      <c r="D34" s="431">
        <v>149673</v>
      </c>
      <c r="E34" s="431">
        <v>139506</v>
      </c>
      <c r="F34" s="431">
        <v>130460</v>
      </c>
      <c r="G34" s="431">
        <v>149794</v>
      </c>
      <c r="H34" s="431">
        <v>157782</v>
      </c>
      <c r="I34" s="433">
        <v>164709</v>
      </c>
      <c r="J34" s="433">
        <v>144621</v>
      </c>
      <c r="K34" s="433">
        <v>138637</v>
      </c>
    </row>
    <row r="35" spans="2:11">
      <c r="B35" s="401" t="s">
        <v>631</v>
      </c>
      <c r="C35" s="431">
        <v>90310</v>
      </c>
      <c r="D35" s="431">
        <v>79955</v>
      </c>
      <c r="E35" s="431">
        <v>78403</v>
      </c>
      <c r="F35" s="431">
        <v>72753</v>
      </c>
      <c r="G35" s="431">
        <v>83668</v>
      </c>
      <c r="H35" s="431">
        <v>90455</v>
      </c>
      <c r="I35" s="433">
        <v>83876</v>
      </c>
      <c r="J35" s="433">
        <v>80993</v>
      </c>
      <c r="K35" s="433">
        <v>85132</v>
      </c>
    </row>
    <row r="36" spans="2:11">
      <c r="B36" s="402"/>
      <c r="C36" s="431"/>
      <c r="D36" s="431"/>
      <c r="E36" s="431"/>
      <c r="F36" s="431"/>
      <c r="G36" s="431"/>
      <c r="H36" s="431"/>
      <c r="I36" s="433"/>
      <c r="J36" s="430"/>
      <c r="K36" s="430"/>
    </row>
    <row r="37" spans="2:11">
      <c r="B37" s="400" t="s">
        <v>632</v>
      </c>
      <c r="C37" s="431"/>
      <c r="D37" s="431"/>
      <c r="E37" s="431"/>
      <c r="F37" s="431"/>
      <c r="G37" s="431"/>
      <c r="H37" s="431"/>
      <c r="I37" s="433"/>
      <c r="J37" s="430"/>
      <c r="K37" s="430"/>
    </row>
    <row r="38" spans="2:11">
      <c r="B38" s="400"/>
      <c r="C38" s="431"/>
      <c r="D38" s="431"/>
      <c r="E38" s="431"/>
      <c r="F38" s="431"/>
      <c r="G38" s="431"/>
      <c r="H38" s="431"/>
      <c r="I38" s="433"/>
      <c r="J38" s="430"/>
      <c r="K38" s="430"/>
    </row>
    <row r="39" spans="2:11" ht="15">
      <c r="B39" s="383" t="s">
        <v>1101</v>
      </c>
      <c r="C39" s="431">
        <v>25584</v>
      </c>
      <c r="D39" s="431">
        <v>24949</v>
      </c>
      <c r="E39" s="431">
        <v>19748</v>
      </c>
      <c r="F39" s="431">
        <v>18589</v>
      </c>
      <c r="G39" s="431">
        <v>16960</v>
      </c>
      <c r="H39" s="431">
        <v>32531</v>
      </c>
      <c r="I39" s="433">
        <v>32381</v>
      </c>
      <c r="J39" s="433">
        <v>28914</v>
      </c>
      <c r="K39" s="433">
        <v>24951</v>
      </c>
    </row>
    <row r="40" spans="2:11">
      <c r="B40" s="401" t="s">
        <v>633</v>
      </c>
      <c r="C40" s="431">
        <v>27610</v>
      </c>
      <c r="D40" s="431">
        <v>27957</v>
      </c>
      <c r="E40" s="431">
        <v>28435</v>
      </c>
      <c r="F40" s="431">
        <v>25492</v>
      </c>
      <c r="G40" s="431">
        <v>29968</v>
      </c>
      <c r="H40" s="431">
        <v>27155</v>
      </c>
      <c r="I40" s="433">
        <v>28041</v>
      </c>
      <c r="J40" s="433">
        <v>27495</v>
      </c>
      <c r="K40" s="433">
        <v>30068</v>
      </c>
    </row>
    <row r="41" spans="2:11">
      <c r="B41" s="401" t="s">
        <v>634</v>
      </c>
      <c r="C41" s="431">
        <v>32330</v>
      </c>
      <c r="D41" s="431">
        <v>29790</v>
      </c>
      <c r="E41" s="431">
        <v>32988</v>
      </c>
      <c r="F41" s="431">
        <v>31409</v>
      </c>
      <c r="G41" s="431">
        <v>39282</v>
      </c>
      <c r="H41" s="431">
        <v>28651</v>
      </c>
      <c r="I41" s="433">
        <v>36654</v>
      </c>
      <c r="J41" s="433">
        <v>36029</v>
      </c>
      <c r="K41" s="433">
        <v>44212</v>
      </c>
    </row>
    <row r="42" spans="2:11">
      <c r="B42" s="401" t="s">
        <v>635</v>
      </c>
      <c r="C42" s="431">
        <v>75617</v>
      </c>
      <c r="D42" s="431">
        <v>73709</v>
      </c>
      <c r="E42" s="431">
        <v>72340</v>
      </c>
      <c r="F42" s="431">
        <v>70475</v>
      </c>
      <c r="G42" s="431">
        <v>72502</v>
      </c>
      <c r="H42" s="431">
        <v>70708</v>
      </c>
      <c r="I42" s="433">
        <v>68812</v>
      </c>
      <c r="J42" s="433">
        <v>66327</v>
      </c>
      <c r="K42" s="433">
        <v>72338</v>
      </c>
    </row>
    <row r="43" spans="2:11">
      <c r="B43" s="374"/>
      <c r="C43" s="375"/>
      <c r="D43" s="376"/>
      <c r="E43" s="376"/>
      <c r="F43" s="376"/>
      <c r="G43" s="376"/>
      <c r="H43" s="376"/>
      <c r="I43" s="376"/>
      <c r="J43" s="376"/>
      <c r="K43" s="376"/>
    </row>
    <row r="44" spans="2:11">
      <c r="B44" s="376"/>
      <c r="C44" s="376"/>
      <c r="D44" s="376"/>
      <c r="E44" s="376"/>
      <c r="F44" s="376"/>
      <c r="G44" s="376"/>
      <c r="H44" s="376"/>
      <c r="I44" s="376"/>
      <c r="J44" s="376"/>
      <c r="K44" s="376"/>
    </row>
    <row r="45" spans="2:11" ht="13.5">
      <c r="B45" s="601" t="s">
        <v>1098</v>
      </c>
      <c r="C45" s="601"/>
      <c r="D45" s="601"/>
      <c r="E45" s="601"/>
      <c r="F45" s="601"/>
      <c r="G45" s="601"/>
      <c r="H45" s="601"/>
      <c r="I45" s="601"/>
      <c r="J45" s="601"/>
      <c r="K45" s="601"/>
    </row>
    <row r="46" spans="2:11" ht="13.5">
      <c r="B46" s="397" t="s">
        <v>1099</v>
      </c>
      <c r="C46" s="397"/>
      <c r="D46" s="397"/>
      <c r="E46" s="397"/>
      <c r="F46" s="397"/>
      <c r="G46" s="397"/>
      <c r="H46" s="397"/>
      <c r="I46" s="397"/>
      <c r="J46" s="397"/>
      <c r="K46" s="397"/>
    </row>
    <row r="47" spans="2:11">
      <c r="B47" s="601" t="s">
        <v>637</v>
      </c>
      <c r="C47" s="601"/>
      <c r="D47" s="601"/>
      <c r="E47" s="601"/>
      <c r="F47" s="601"/>
      <c r="G47" s="601"/>
      <c r="H47" s="601"/>
      <c r="I47" s="601"/>
      <c r="J47" s="601"/>
      <c r="K47" s="601"/>
    </row>
  </sheetData>
  <mergeCells count="6">
    <mergeCell ref="B47:K47"/>
    <mergeCell ref="B2:K2"/>
    <mergeCell ref="B3:K3"/>
    <mergeCell ref="B4:B5"/>
    <mergeCell ref="C4:K4"/>
    <mergeCell ref="B45:K45"/>
  </mergeCells>
  <hyperlinks>
    <hyperlink ref="B3:K3" location="'Capitulo 5'!B26" display="Hogares pobres con privación en los indicadores del IPM. 2010-2018." xr:uid="{00000000-0004-0000-4400-000000000000}"/>
  </hyperlink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"/>
  <sheetViews>
    <sheetView workbookViewId="0"/>
  </sheetViews>
  <sheetFormatPr baseColWidth="10" defaultRowHeight="12.75"/>
  <sheetData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6"/>
  <sheetViews>
    <sheetView showGridLines="0" zoomScaleNormal="100" workbookViewId="0">
      <pane ySplit="5" topLeftCell="A6" activePane="bottomLeft" state="frozen"/>
      <selection pane="bottomLeft" activeCell="G14" sqref="G14"/>
    </sheetView>
  </sheetViews>
  <sheetFormatPr baseColWidth="10" defaultRowHeight="12.75"/>
  <cols>
    <col min="2" max="2" width="30.140625" style="3" customWidth="1"/>
    <col min="3" max="3" width="28.42578125" style="3" customWidth="1"/>
    <col min="4" max="4" width="30.140625" style="3" customWidth="1"/>
    <col min="5" max="5" width="20.28515625" style="3" customWidth="1"/>
    <col min="6" max="9" width="11.42578125" style="3"/>
  </cols>
  <sheetData>
    <row r="1" spans="1:6" ht="15">
      <c r="B1" s="7"/>
      <c r="C1" s="7"/>
    </row>
    <row r="2" spans="1:6" ht="15">
      <c r="B2" s="462" t="s">
        <v>440</v>
      </c>
      <c r="C2" s="462"/>
      <c r="D2" s="462"/>
      <c r="E2" s="462"/>
      <c r="F2" s="6"/>
    </row>
    <row r="3" spans="1:6" ht="50.25" customHeight="1" thickBot="1">
      <c r="B3" s="464" t="s">
        <v>586</v>
      </c>
      <c r="C3" s="464"/>
      <c r="D3" s="464"/>
      <c r="E3" s="464"/>
      <c r="F3" s="6"/>
    </row>
    <row r="4" spans="1:6" ht="16.5" customHeight="1" thickTop="1" thickBot="1">
      <c r="B4" s="476" t="s">
        <v>1068</v>
      </c>
      <c r="C4" s="459" t="s">
        <v>481</v>
      </c>
      <c r="D4" s="460"/>
      <c r="E4" s="476" t="s">
        <v>482</v>
      </c>
      <c r="F4" s="6"/>
    </row>
    <row r="5" spans="1:6" ht="16.5" thickTop="1" thickBot="1">
      <c r="B5" s="477"/>
      <c r="C5" s="314" t="s">
        <v>479</v>
      </c>
      <c r="D5" s="314" t="s">
        <v>480</v>
      </c>
      <c r="E5" s="477"/>
      <c r="F5" s="6"/>
    </row>
    <row r="6" spans="1:6" ht="16.5" thickTop="1" thickBot="1">
      <c r="A6" s="181"/>
      <c r="B6" s="268">
        <v>2015</v>
      </c>
      <c r="C6" s="269">
        <v>4536601.0999999996</v>
      </c>
      <c r="D6" s="269">
        <v>435531.4</v>
      </c>
      <c r="E6" s="270" t="s">
        <v>156</v>
      </c>
      <c r="F6" s="6"/>
    </row>
    <row r="7" spans="1:6" ht="16.5" thickTop="1" thickBot="1">
      <c r="A7" s="181"/>
      <c r="B7" s="268">
        <v>2016</v>
      </c>
      <c r="C7" s="269">
        <v>5048142.5</v>
      </c>
      <c r="D7" s="269">
        <v>469627.1</v>
      </c>
      <c r="E7" s="270">
        <f>+(C7-C6)/C6</f>
        <v>0.11275873472763571</v>
      </c>
      <c r="F7" s="6"/>
    </row>
    <row r="8" spans="1:6" ht="16.5" thickTop="1" thickBot="1">
      <c r="A8" s="181"/>
      <c r="B8" s="268">
        <v>2017</v>
      </c>
      <c r="C8" s="269">
        <v>5518723.2000000002</v>
      </c>
      <c r="D8" s="269">
        <v>483751.4</v>
      </c>
      <c r="E8" s="270">
        <f>+(C8-C7)/C7</f>
        <v>9.3218584855716768E-2</v>
      </c>
      <c r="F8" s="6"/>
    </row>
    <row r="9" spans="1:6" ht="16.5" thickTop="1" thickBot="1">
      <c r="A9" s="181"/>
      <c r="B9" s="268">
        <v>2018</v>
      </c>
      <c r="C9" s="269">
        <v>5836927</v>
      </c>
      <c r="D9" s="269">
        <v>539962</v>
      </c>
      <c r="E9" s="270">
        <f>+(C9-C8)/C8</f>
        <v>5.7658952708481523E-2</v>
      </c>
      <c r="F9" s="6"/>
    </row>
    <row r="10" spans="1:6" ht="16.5" thickTop="1" thickBot="1">
      <c r="B10" s="248"/>
      <c r="C10" s="265"/>
      <c r="D10" s="265"/>
      <c r="E10" s="266"/>
      <c r="F10" s="6"/>
    </row>
    <row r="11" spans="1:6" ht="16.5" thickTop="1" thickBot="1">
      <c r="B11" s="478" t="s">
        <v>11</v>
      </c>
      <c r="C11" s="479"/>
      <c r="D11" s="479"/>
      <c r="E11" s="237"/>
      <c r="F11" s="6"/>
    </row>
    <row r="12" spans="1:6" ht="15.75" thickTop="1">
      <c r="B12" s="468" t="s">
        <v>1067</v>
      </c>
      <c r="C12" s="468"/>
      <c r="D12" s="468"/>
      <c r="E12" s="267"/>
      <c r="F12" s="6"/>
    </row>
    <row r="13" spans="1:6" ht="15">
      <c r="B13" s="6"/>
      <c r="C13" s="191"/>
      <c r="D13" s="6"/>
      <c r="E13" s="8"/>
      <c r="F13" s="6"/>
    </row>
    <row r="14" spans="1:6" ht="15">
      <c r="B14" s="6"/>
      <c r="C14" s="204"/>
      <c r="D14" s="204"/>
      <c r="E14" s="6"/>
      <c r="F14" s="6"/>
    </row>
    <row r="15" spans="1:6" ht="15">
      <c r="B15" s="6"/>
      <c r="C15" s="204"/>
      <c r="D15" s="204"/>
      <c r="E15" s="6"/>
      <c r="F15" s="6"/>
    </row>
    <row r="16" spans="1:6" ht="15.75" thickBot="1">
      <c r="B16" s="6"/>
      <c r="C16" s="204"/>
      <c r="D16" s="204"/>
      <c r="E16" s="6"/>
      <c r="F16" s="6"/>
    </row>
    <row r="17" spans="2:6" ht="16.5" thickTop="1" thickBot="1">
      <c r="B17" s="268"/>
      <c r="C17" s="268"/>
      <c r="D17" s="268"/>
      <c r="E17" s="268"/>
      <c r="F17" s="6"/>
    </row>
    <row r="18" spans="2:6" ht="16.5" thickTop="1" thickBot="1">
      <c r="B18" s="268"/>
      <c r="C18" s="269"/>
      <c r="D18" s="269"/>
      <c r="E18" s="434"/>
      <c r="F18" s="6"/>
    </row>
    <row r="19" spans="2:6" ht="16.5" thickTop="1" thickBot="1">
      <c r="B19" s="268"/>
      <c r="C19" s="269"/>
      <c r="D19" s="269"/>
      <c r="E19" s="270"/>
      <c r="F19" s="6"/>
    </row>
    <row r="20" spans="2:6" ht="16.5" thickTop="1" thickBot="1">
      <c r="B20" s="268"/>
      <c r="C20" s="269"/>
      <c r="D20" s="269"/>
      <c r="E20" s="270"/>
      <c r="F20" s="6"/>
    </row>
    <row r="21" spans="2:6" ht="16.5" thickTop="1" thickBot="1">
      <c r="B21" s="268"/>
      <c r="C21" s="269"/>
      <c r="D21" s="269"/>
      <c r="E21" s="270"/>
      <c r="F21" s="6"/>
    </row>
    <row r="22" spans="2:6" ht="15.75" thickTop="1">
      <c r="B22" s="6"/>
      <c r="C22" s="204"/>
      <c r="D22" s="204"/>
      <c r="E22" s="6"/>
      <c r="F22" s="6"/>
    </row>
    <row r="23" spans="2:6" ht="15">
      <c r="B23" s="6"/>
      <c r="C23" s="204"/>
      <c r="D23" s="204"/>
      <c r="E23" s="6"/>
      <c r="F23" s="6"/>
    </row>
    <row r="24" spans="2:6" ht="15">
      <c r="B24" s="6"/>
      <c r="C24" s="204"/>
      <c r="D24" s="204"/>
      <c r="E24" s="6"/>
      <c r="F24" s="6"/>
    </row>
    <row r="25" spans="2:6" ht="15">
      <c r="B25" s="6"/>
      <c r="C25" s="204"/>
      <c r="D25" s="204"/>
      <c r="E25" s="6"/>
      <c r="F25" s="6"/>
    </row>
    <row r="26" spans="2:6" ht="15">
      <c r="B26" s="6"/>
      <c r="C26" s="204"/>
      <c r="D26" s="204"/>
      <c r="E26" s="6"/>
      <c r="F26" s="6"/>
    </row>
    <row r="27" spans="2:6" ht="15">
      <c r="B27" s="6"/>
      <c r="C27" s="204"/>
      <c r="D27" s="204"/>
      <c r="E27" s="6"/>
      <c r="F27" s="6"/>
    </row>
    <row r="28" spans="2:6" ht="15">
      <c r="B28" s="6"/>
      <c r="C28" s="204"/>
      <c r="D28" s="204"/>
      <c r="E28" s="6"/>
      <c r="F28" s="6"/>
    </row>
    <row r="29" spans="2:6" ht="15">
      <c r="C29" s="204"/>
      <c r="D29" s="204"/>
      <c r="E29" s="6"/>
      <c r="F29" s="6"/>
    </row>
    <row r="30" spans="2:6" ht="15">
      <c r="C30" s="204"/>
      <c r="D30" s="204"/>
    </row>
    <row r="31" spans="2:6" ht="15">
      <c r="C31" s="204"/>
      <c r="D31" s="204"/>
    </row>
    <row r="44" spans="2:9">
      <c r="B44" s="5"/>
    </row>
    <row r="45" spans="2:9">
      <c r="B45" s="5"/>
      <c r="C45" s="5"/>
      <c r="D45" s="5"/>
    </row>
    <row r="46" spans="2:9" s="2" customFormat="1" ht="13.5">
      <c r="B46" s="3"/>
      <c r="C46" s="3"/>
      <c r="D46" s="3"/>
      <c r="E46" s="5"/>
      <c r="F46" s="5"/>
      <c r="G46" s="5"/>
      <c r="H46" s="5"/>
      <c r="I46" s="5"/>
    </row>
  </sheetData>
  <mergeCells count="7">
    <mergeCell ref="B12:D12"/>
    <mergeCell ref="E4:E5"/>
    <mergeCell ref="B3:E3"/>
    <mergeCell ref="B2:E2"/>
    <mergeCell ref="B11:D11"/>
    <mergeCell ref="C4:D4"/>
    <mergeCell ref="B4:B5"/>
  </mergeCells>
  <phoneticPr fontId="0" type="noConversion"/>
  <hyperlinks>
    <hyperlink ref="B3:E3" location="'Capitulo 1'!B23" display="'Capitulo 1'!B23" xr:uid="{00000000-0004-0000-06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B43E97"/>
  </sheetPr>
  <dimension ref="A1:J24"/>
  <sheetViews>
    <sheetView showGridLines="0" topLeftCell="A10" zoomScaleNormal="100" workbookViewId="0">
      <selection activeCell="B24" sqref="B24:I24"/>
    </sheetView>
  </sheetViews>
  <sheetFormatPr baseColWidth="10" defaultRowHeight="21"/>
  <cols>
    <col min="1" max="1" width="13.28515625" style="18" customWidth="1"/>
    <col min="2" max="8" width="11.42578125" style="18"/>
    <col min="9" max="9" width="7.140625" style="18" customWidth="1"/>
    <col min="10" max="16384" width="11.42578125" style="18"/>
  </cols>
  <sheetData>
    <row r="1" spans="1:10" ht="15" customHeight="1"/>
    <row r="2" spans="1:10" ht="15.75" customHeight="1"/>
    <row r="3" spans="1:10" ht="14.25" customHeight="1"/>
    <row r="4" spans="1:10" ht="15" customHeight="1"/>
    <row r="5" spans="1:10" ht="14.25" customHeight="1"/>
    <row r="6" spans="1:10" ht="14.25" customHeight="1"/>
    <row r="7" spans="1:10" ht="15" customHeight="1"/>
    <row r="8" spans="1:10" ht="12" customHeight="1"/>
    <row r="9" spans="1:10" s="20" customFormat="1" ht="15.75" customHeight="1">
      <c r="J9" s="19"/>
    </row>
    <row r="10" spans="1:10" ht="15.75" customHeight="1"/>
    <row r="11" spans="1:10" ht="16.5" customHeight="1"/>
    <row r="12" spans="1:10" ht="17.25" customHeight="1">
      <c r="C12" s="21"/>
    </row>
    <row r="13" spans="1:10" ht="16.5" customHeight="1"/>
    <row r="14" spans="1:10" ht="14.25" customHeight="1"/>
    <row r="15" spans="1:10">
      <c r="A15" s="480" t="s">
        <v>712</v>
      </c>
      <c r="B15" s="480"/>
      <c r="C15" s="480"/>
      <c r="D15" s="480"/>
      <c r="E15" s="480"/>
      <c r="F15" s="480"/>
      <c r="G15" s="480"/>
      <c r="H15" s="480"/>
      <c r="I15" s="480"/>
    </row>
    <row r="16" spans="1:10" ht="18.75" customHeight="1">
      <c r="A16" s="271"/>
      <c r="B16" s="271"/>
      <c r="C16" s="271"/>
      <c r="D16" s="271"/>
      <c r="E16" s="271"/>
      <c r="F16" s="271"/>
      <c r="G16" s="271"/>
      <c r="H16" s="271"/>
      <c r="I16" s="271"/>
    </row>
    <row r="17" spans="1:9" ht="20.25" customHeight="1">
      <c r="A17" s="481" t="s">
        <v>466</v>
      </c>
      <c r="B17" s="481"/>
      <c r="C17" s="481"/>
      <c r="D17" s="481"/>
      <c r="E17" s="481"/>
      <c r="F17" s="481"/>
      <c r="G17" s="481"/>
      <c r="H17" s="481"/>
      <c r="I17" s="481"/>
    </row>
    <row r="18" spans="1:9">
      <c r="A18" s="237"/>
      <c r="B18" s="237"/>
      <c r="C18" s="237"/>
      <c r="D18" s="237"/>
      <c r="E18" s="237"/>
      <c r="F18" s="237"/>
      <c r="G18" s="237"/>
      <c r="H18" s="237"/>
      <c r="I18" s="237"/>
    </row>
    <row r="19" spans="1:9" ht="27" customHeight="1">
      <c r="A19" s="239" t="s">
        <v>441</v>
      </c>
      <c r="B19" s="448" t="s">
        <v>699</v>
      </c>
      <c r="C19" s="448"/>
      <c r="D19" s="448"/>
      <c r="E19" s="448"/>
      <c r="F19" s="448"/>
      <c r="G19" s="448"/>
      <c r="H19" s="448"/>
      <c r="I19" s="448"/>
    </row>
    <row r="20" spans="1:9" ht="32.25" customHeight="1">
      <c r="A20" s="239" t="s">
        <v>290</v>
      </c>
      <c r="B20" s="448" t="s">
        <v>700</v>
      </c>
      <c r="C20" s="448"/>
      <c r="D20" s="448"/>
      <c r="E20" s="448"/>
      <c r="F20" s="448"/>
      <c r="G20" s="448"/>
      <c r="H20" s="448"/>
      <c r="I20" s="448"/>
    </row>
    <row r="21" spans="1:9" ht="30" customHeight="1">
      <c r="A21" s="239" t="s">
        <v>291</v>
      </c>
      <c r="B21" s="448" t="s">
        <v>701</v>
      </c>
      <c r="C21" s="448"/>
      <c r="D21" s="448"/>
      <c r="E21" s="448"/>
      <c r="F21" s="448"/>
      <c r="G21" s="448"/>
      <c r="H21" s="448"/>
      <c r="I21" s="448"/>
    </row>
    <row r="22" spans="1:9" ht="33.75" customHeight="1">
      <c r="A22" s="239" t="s">
        <v>13</v>
      </c>
      <c r="B22" s="448" t="s">
        <v>702</v>
      </c>
      <c r="C22" s="448"/>
      <c r="D22" s="448"/>
      <c r="E22" s="448"/>
      <c r="F22" s="448"/>
      <c r="G22" s="448"/>
      <c r="H22" s="448"/>
      <c r="I22" s="448"/>
    </row>
    <row r="23" spans="1:9">
      <c r="A23" s="239" t="s">
        <v>14</v>
      </c>
      <c r="B23" s="448" t="s">
        <v>1126</v>
      </c>
      <c r="C23" s="448"/>
      <c r="D23" s="448"/>
      <c r="E23" s="448"/>
      <c r="F23" s="448"/>
      <c r="G23" s="448"/>
      <c r="H23" s="448"/>
      <c r="I23" s="448"/>
    </row>
    <row r="24" spans="1:9" ht="21.75" customHeight="1">
      <c r="A24" s="239" t="s">
        <v>38</v>
      </c>
      <c r="B24" s="448" t="s">
        <v>509</v>
      </c>
      <c r="C24" s="448"/>
      <c r="D24" s="448"/>
      <c r="E24" s="448"/>
      <c r="F24" s="448"/>
      <c r="G24" s="448"/>
      <c r="H24" s="448"/>
      <c r="I24" s="448"/>
    </row>
  </sheetData>
  <mergeCells count="8">
    <mergeCell ref="B23:I23"/>
    <mergeCell ref="B24:I24"/>
    <mergeCell ref="A15:I15"/>
    <mergeCell ref="A17:I17"/>
    <mergeCell ref="B19:I19"/>
    <mergeCell ref="B20:I20"/>
    <mergeCell ref="B21:I21"/>
    <mergeCell ref="B22:I22"/>
  </mergeCells>
  <hyperlinks>
    <hyperlink ref="A15:I15" location="'Compendio de Vivienda 2018'!F30" display="Capítulo 2: Construcción residencial en Costa Rica" xr:uid="{00000000-0004-0000-0700-000000000000}"/>
    <hyperlink ref="B19:I19" location="'c6'!B3" display="Número de obras residenciales (viviendas y apartamentos), por grupos de área y según cantón. 2018." xr:uid="{00000000-0004-0000-0700-000001000000}"/>
    <hyperlink ref="B20:I20" location="'c7'!B3" display="Número de obras de construcción residencial (viviendas y apartamentos), área (m2), valor (en miles de colones) y valor promedio por obra (en miles de colones), según cantón. 2018." xr:uid="{00000000-0004-0000-0700-000002000000}"/>
    <hyperlink ref="B21:I21" location="'c8'!B3" display="Número de obras de ampliación residencial (viviendas y apartamentos), área (m2), valor (en miles de colones) y valor promedio por obra (en miles de colones), según cantón. 2018." xr:uid="{00000000-0004-0000-0700-000003000000}"/>
    <hyperlink ref="B22:I22" location="'c9'!B3" display="Número de obras de reparación residencial (viviendas y apartamentos), valor (en miles de colones) y valor promedio por obra (en miles de colones), según cantón. 2018." xr:uid="{00000000-0004-0000-0700-000004000000}"/>
    <hyperlink ref="B23:I23" location="'c10'!B3" display="Metros cuadrados construidos en obras habitacionales, según tipo de obra. 2017-2018." xr:uid="{00000000-0004-0000-0700-000005000000}"/>
    <hyperlink ref="B24:I24" location="'c11'!B3" display="Índice de precios de edificios y vivienda de interés social, y su variación porcentual anual. 2015-2018." xr:uid="{00000000-0004-0000-0700-000006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AM110"/>
  <sheetViews>
    <sheetView showGridLines="0" topLeftCell="C1" zoomScale="115" zoomScaleNormal="115" workbookViewId="0">
      <pane ySplit="5" topLeftCell="A6" activePane="bottomLeft" state="frozen"/>
      <selection pane="bottomLeft" activeCell="P30" sqref="P30"/>
    </sheetView>
  </sheetViews>
  <sheetFormatPr baseColWidth="10" defaultColWidth="11.42578125" defaultRowHeight="14.25"/>
  <cols>
    <col min="1" max="1" width="11.42578125" customWidth="1"/>
    <col min="2" max="2" width="30" style="15" customWidth="1"/>
    <col min="3" max="3" width="18.140625" style="15" customWidth="1"/>
    <col min="4" max="4" width="17.5703125" style="15" customWidth="1"/>
    <col min="5" max="5" width="18" style="15" customWidth="1"/>
    <col min="6" max="6" width="16.42578125" style="15" customWidth="1"/>
    <col min="7" max="7" width="18.28515625" style="15" customWidth="1"/>
    <col min="8" max="8" width="16.28515625" style="15" customWidth="1"/>
    <col min="9" max="9" width="20.7109375" style="15" customWidth="1"/>
    <col min="10" max="10" width="12" style="15" customWidth="1"/>
    <col min="11" max="11" width="12.7109375" style="15" customWidth="1"/>
    <col min="12" max="13" width="11.42578125" style="15" customWidth="1"/>
    <col min="14" max="14" width="9.7109375" style="15" customWidth="1"/>
    <col min="15" max="15" width="11.42578125" style="15" customWidth="1"/>
    <col min="16" max="16" width="12.85546875" style="15" bestFit="1" customWidth="1"/>
    <col min="17" max="17" width="12.42578125" style="15" customWidth="1"/>
    <col min="18" max="18" width="13" style="15" customWidth="1"/>
    <col min="19" max="19" width="15.85546875" style="15" customWidth="1"/>
    <col min="20" max="20" width="17" style="15" customWidth="1"/>
    <col min="21" max="27" width="11.42578125" style="15" customWidth="1"/>
    <col min="28" max="39" width="11.42578125" style="35" customWidth="1"/>
  </cols>
  <sheetData>
    <row r="2" spans="2:11" ht="15">
      <c r="B2" s="462" t="s">
        <v>441</v>
      </c>
      <c r="C2" s="462"/>
      <c r="D2" s="462"/>
      <c r="E2" s="462"/>
      <c r="F2" s="462"/>
      <c r="G2" s="462"/>
      <c r="H2" s="462"/>
      <c r="I2" s="462"/>
    </row>
    <row r="3" spans="2:11" ht="43.5" customHeight="1" thickBot="1">
      <c r="B3" s="482" t="s">
        <v>699</v>
      </c>
      <c r="C3" s="482"/>
      <c r="D3" s="482"/>
      <c r="E3" s="482"/>
      <c r="F3" s="482"/>
      <c r="G3" s="482"/>
      <c r="H3" s="482"/>
      <c r="I3" s="482"/>
    </row>
    <row r="4" spans="2:11" ht="20.25" customHeight="1" thickTop="1" thickBot="1">
      <c r="B4" s="484" t="s">
        <v>15</v>
      </c>
      <c r="C4" s="459" t="s">
        <v>433</v>
      </c>
      <c r="D4" s="460"/>
      <c r="E4" s="460"/>
      <c r="F4" s="460"/>
      <c r="G4" s="460"/>
      <c r="H4" s="460"/>
      <c r="I4" s="461"/>
    </row>
    <row r="5" spans="2:11" ht="27" thickTop="1" thickBot="1">
      <c r="B5" s="485"/>
      <c r="C5" s="314" t="s">
        <v>4</v>
      </c>
      <c r="D5" s="314" t="s">
        <v>104</v>
      </c>
      <c r="E5" s="314" t="s">
        <v>105</v>
      </c>
      <c r="F5" s="314" t="s">
        <v>106</v>
      </c>
      <c r="G5" s="314" t="s">
        <v>107</v>
      </c>
      <c r="H5" s="314" t="s">
        <v>273</v>
      </c>
      <c r="I5" s="314" t="s">
        <v>108</v>
      </c>
    </row>
    <row r="6" spans="2:11" ht="15.75" thickTop="1" thickBot="1">
      <c r="B6" s="272" t="s">
        <v>103</v>
      </c>
      <c r="C6" s="414">
        <f>SUM(D6:I6)</f>
        <v>10782</v>
      </c>
      <c r="D6" s="414">
        <f t="shared" ref="D6:I6" si="0">SUM(D7:D87)</f>
        <v>300</v>
      </c>
      <c r="E6" s="414">
        <f t="shared" si="0"/>
        <v>6274</v>
      </c>
      <c r="F6" s="414">
        <f t="shared" si="0"/>
        <v>1538</v>
      </c>
      <c r="G6" s="414">
        <f t="shared" si="0"/>
        <v>1118</v>
      </c>
      <c r="H6" s="414">
        <f t="shared" si="0"/>
        <v>843</v>
      </c>
      <c r="I6" s="414">
        <f t="shared" si="0"/>
        <v>709</v>
      </c>
      <c r="J6" s="32"/>
      <c r="K6" s="174"/>
    </row>
    <row r="7" spans="2:11" ht="15.75" thickTop="1" thickBot="1">
      <c r="B7" s="272" t="s">
        <v>348</v>
      </c>
      <c r="C7" s="414">
        <f t="shared" ref="C7:C70" si="1">SUM(D7:I7)</f>
        <v>73</v>
      </c>
      <c r="D7" s="414">
        <v>3</v>
      </c>
      <c r="E7" s="414">
        <v>25</v>
      </c>
      <c r="F7" s="414">
        <v>26</v>
      </c>
      <c r="G7" s="414">
        <v>12</v>
      </c>
      <c r="H7" s="414">
        <v>2</v>
      </c>
      <c r="I7" s="414">
        <v>5</v>
      </c>
      <c r="J7" s="32"/>
      <c r="K7" s="174"/>
    </row>
    <row r="8" spans="2:11" ht="15.75" thickTop="1" thickBot="1">
      <c r="B8" s="272" t="s">
        <v>349</v>
      </c>
      <c r="C8" s="414">
        <f t="shared" si="1"/>
        <v>110</v>
      </c>
      <c r="D8" s="414">
        <v>0</v>
      </c>
      <c r="E8" s="414">
        <v>6</v>
      </c>
      <c r="F8" s="414">
        <v>22</v>
      </c>
      <c r="G8" s="414">
        <v>11</v>
      </c>
      <c r="H8" s="414">
        <v>26</v>
      </c>
      <c r="I8" s="414">
        <v>45</v>
      </c>
      <c r="J8" s="32"/>
      <c r="K8" s="174"/>
    </row>
    <row r="9" spans="2:11" ht="15.75" thickTop="1" thickBot="1">
      <c r="B9" s="272" t="s">
        <v>350</v>
      </c>
      <c r="C9" s="414">
        <f t="shared" si="1"/>
        <v>90</v>
      </c>
      <c r="D9" s="414">
        <v>0</v>
      </c>
      <c r="E9" s="414">
        <v>42</v>
      </c>
      <c r="F9" s="414">
        <v>17</v>
      </c>
      <c r="G9" s="414">
        <v>23</v>
      </c>
      <c r="H9" s="414">
        <v>3</v>
      </c>
      <c r="I9" s="414">
        <v>5</v>
      </c>
      <c r="J9" s="32"/>
      <c r="K9" s="174"/>
    </row>
    <row r="10" spans="2:11" ht="15.75" thickTop="1" thickBot="1">
      <c r="B10" s="272" t="s">
        <v>208</v>
      </c>
      <c r="C10" s="414">
        <f t="shared" si="1"/>
        <v>71</v>
      </c>
      <c r="D10" s="414">
        <v>2</v>
      </c>
      <c r="E10" s="414">
        <v>51</v>
      </c>
      <c r="F10" s="414">
        <v>11</v>
      </c>
      <c r="G10" s="414">
        <v>3</v>
      </c>
      <c r="H10" s="414">
        <v>3</v>
      </c>
      <c r="I10" s="414">
        <v>1</v>
      </c>
      <c r="J10" s="32"/>
      <c r="K10" s="174"/>
    </row>
    <row r="11" spans="2:11" ht="15.75" thickTop="1" thickBot="1">
      <c r="B11" s="272" t="s">
        <v>209</v>
      </c>
      <c r="C11" s="414">
        <f t="shared" si="1"/>
        <v>55</v>
      </c>
      <c r="D11" s="414">
        <v>9</v>
      </c>
      <c r="E11" s="414">
        <v>31</v>
      </c>
      <c r="F11" s="414">
        <v>8</v>
      </c>
      <c r="G11" s="414">
        <v>4</v>
      </c>
      <c r="H11" s="414">
        <v>1</v>
      </c>
      <c r="I11" s="414">
        <v>2</v>
      </c>
      <c r="J11" s="32"/>
      <c r="K11" s="174"/>
    </row>
    <row r="12" spans="2:11" ht="15.75" thickTop="1" thickBot="1">
      <c r="B12" s="272" t="s">
        <v>351</v>
      </c>
      <c r="C12" s="414">
        <f t="shared" si="1"/>
        <v>62</v>
      </c>
      <c r="D12" s="414">
        <v>7</v>
      </c>
      <c r="E12" s="414">
        <v>41</v>
      </c>
      <c r="F12" s="414">
        <v>7</v>
      </c>
      <c r="G12" s="414">
        <v>7</v>
      </c>
      <c r="H12" s="414">
        <v>0</v>
      </c>
      <c r="I12" s="414">
        <v>0</v>
      </c>
      <c r="J12" s="32"/>
      <c r="K12" s="174"/>
    </row>
    <row r="13" spans="2:11" ht="15.75" thickTop="1" thickBot="1">
      <c r="B13" s="272" t="s">
        <v>352</v>
      </c>
      <c r="C13" s="414">
        <f t="shared" si="1"/>
        <v>106</v>
      </c>
      <c r="D13" s="414">
        <v>2</v>
      </c>
      <c r="E13" s="414">
        <v>38</v>
      </c>
      <c r="F13" s="414">
        <v>22</v>
      </c>
      <c r="G13" s="414">
        <v>22</v>
      </c>
      <c r="H13" s="414">
        <v>13</v>
      </c>
      <c r="I13" s="414">
        <v>9</v>
      </c>
      <c r="J13" s="32"/>
      <c r="K13" s="174"/>
    </row>
    <row r="14" spans="2:11" ht="15.75" thickTop="1" thickBot="1">
      <c r="B14" s="272" t="s">
        <v>353</v>
      </c>
      <c r="C14" s="414">
        <f>SUM(E14:I14)</f>
        <v>47</v>
      </c>
      <c r="D14" s="414">
        <v>0</v>
      </c>
      <c r="E14" s="414">
        <v>20</v>
      </c>
      <c r="F14" s="414">
        <v>9</v>
      </c>
      <c r="G14" s="414">
        <v>7</v>
      </c>
      <c r="H14" s="414">
        <v>8</v>
      </c>
      <c r="I14" s="414">
        <v>3</v>
      </c>
      <c r="J14" s="32"/>
      <c r="K14" s="174"/>
    </row>
    <row r="15" spans="2:11" ht="15.75" thickTop="1" thickBot="1">
      <c r="B15" s="272" t="s">
        <v>354</v>
      </c>
      <c r="C15" s="414">
        <f t="shared" si="1"/>
        <v>122</v>
      </c>
      <c r="D15" s="414">
        <v>1</v>
      </c>
      <c r="E15" s="414">
        <v>12</v>
      </c>
      <c r="F15" s="414">
        <v>25</v>
      </c>
      <c r="G15" s="414">
        <v>23</v>
      </c>
      <c r="H15" s="414">
        <v>17</v>
      </c>
      <c r="I15" s="414">
        <v>44</v>
      </c>
      <c r="J15" s="32"/>
      <c r="K15" s="174"/>
    </row>
    <row r="16" spans="2:11" ht="15.75" thickTop="1" thickBot="1">
      <c r="B16" s="272" t="s">
        <v>355</v>
      </c>
      <c r="C16" s="414">
        <f t="shared" si="1"/>
        <v>164</v>
      </c>
      <c r="D16" s="414">
        <v>7</v>
      </c>
      <c r="E16" s="414">
        <v>24</v>
      </c>
      <c r="F16" s="414">
        <v>101</v>
      </c>
      <c r="G16" s="414">
        <v>27</v>
      </c>
      <c r="H16" s="414">
        <v>3</v>
      </c>
      <c r="I16" s="414">
        <v>2</v>
      </c>
      <c r="J16" s="32"/>
      <c r="K16" s="174"/>
    </row>
    <row r="17" spans="2:11" ht="15.75" thickTop="1" thickBot="1">
      <c r="B17" s="272" t="s">
        <v>425</v>
      </c>
      <c r="C17" s="414">
        <f t="shared" si="1"/>
        <v>23</v>
      </c>
      <c r="D17" s="414">
        <v>0</v>
      </c>
      <c r="E17" s="414">
        <v>5</v>
      </c>
      <c r="F17" s="414">
        <v>3</v>
      </c>
      <c r="G17" s="414">
        <v>11</v>
      </c>
      <c r="H17" s="414">
        <v>2</v>
      </c>
      <c r="I17" s="414">
        <v>2</v>
      </c>
      <c r="J17" s="32"/>
      <c r="K17" s="174"/>
    </row>
    <row r="18" spans="2:11" ht="15.75" thickTop="1" thickBot="1">
      <c r="B18" s="272" t="s">
        <v>356</v>
      </c>
      <c r="C18" s="414">
        <f t="shared" si="1"/>
        <v>59</v>
      </c>
      <c r="D18" s="414">
        <v>2</v>
      </c>
      <c r="E18" s="414">
        <v>50</v>
      </c>
      <c r="F18" s="414">
        <v>4</v>
      </c>
      <c r="G18" s="414">
        <v>3</v>
      </c>
      <c r="H18" s="414">
        <v>0</v>
      </c>
      <c r="I18" s="414">
        <v>0</v>
      </c>
      <c r="J18" s="32"/>
      <c r="K18" s="174"/>
    </row>
    <row r="19" spans="2:11" ht="15.75" thickTop="1" thickBot="1">
      <c r="B19" s="272" t="s">
        <v>357</v>
      </c>
      <c r="C19" s="414">
        <f t="shared" si="1"/>
        <v>50</v>
      </c>
      <c r="D19" s="414">
        <v>2</v>
      </c>
      <c r="E19" s="414">
        <v>5</v>
      </c>
      <c r="F19" s="414">
        <v>18</v>
      </c>
      <c r="G19" s="414">
        <v>22</v>
      </c>
      <c r="H19" s="414">
        <v>1</v>
      </c>
      <c r="I19" s="414">
        <v>2</v>
      </c>
      <c r="J19" s="32"/>
      <c r="K19" s="174"/>
    </row>
    <row r="20" spans="2:11" ht="15.75" thickTop="1" thickBot="1">
      <c r="B20" s="272" t="s">
        <v>358</v>
      </c>
      <c r="C20" s="414">
        <f t="shared" si="1"/>
        <v>93</v>
      </c>
      <c r="D20" s="414">
        <v>0</v>
      </c>
      <c r="E20" s="414">
        <v>8</v>
      </c>
      <c r="F20" s="414">
        <v>73</v>
      </c>
      <c r="G20" s="414">
        <v>3</v>
      </c>
      <c r="H20" s="414">
        <v>6</v>
      </c>
      <c r="I20" s="414">
        <v>3</v>
      </c>
      <c r="J20" s="32"/>
      <c r="K20" s="174"/>
    </row>
    <row r="21" spans="2:11" ht="15.75" thickTop="1" thickBot="1">
      <c r="B21" s="272" t="s">
        <v>359</v>
      </c>
      <c r="C21" s="414">
        <f t="shared" si="1"/>
        <v>51</v>
      </c>
      <c r="D21" s="414">
        <v>0</v>
      </c>
      <c r="E21" s="414">
        <v>14</v>
      </c>
      <c r="F21" s="414">
        <v>8</v>
      </c>
      <c r="G21" s="414">
        <v>10</v>
      </c>
      <c r="H21" s="414">
        <v>6</v>
      </c>
      <c r="I21" s="414">
        <v>13</v>
      </c>
      <c r="J21" s="32"/>
      <c r="K21" s="174"/>
    </row>
    <row r="22" spans="2:11" ht="15.75" thickTop="1" thickBot="1">
      <c r="B22" s="272" t="s">
        <v>219</v>
      </c>
      <c r="C22" s="414">
        <f t="shared" si="1"/>
        <v>18</v>
      </c>
      <c r="D22" s="414">
        <v>1</v>
      </c>
      <c r="E22" s="414">
        <v>14</v>
      </c>
      <c r="F22" s="414">
        <v>1</v>
      </c>
      <c r="G22" s="414">
        <v>1</v>
      </c>
      <c r="H22" s="414">
        <v>1</v>
      </c>
      <c r="I22" s="414">
        <v>0</v>
      </c>
      <c r="J22" s="32"/>
      <c r="K22" s="174"/>
    </row>
    <row r="23" spans="2:11" ht="15.75" thickTop="1" thickBot="1">
      <c r="B23" s="272" t="s">
        <v>220</v>
      </c>
      <c r="C23" s="414">
        <f t="shared" si="1"/>
        <v>33</v>
      </c>
      <c r="D23" s="414">
        <v>0</v>
      </c>
      <c r="E23" s="414">
        <v>22</v>
      </c>
      <c r="F23" s="414">
        <v>7</v>
      </c>
      <c r="G23" s="414">
        <v>3</v>
      </c>
      <c r="H23" s="414">
        <v>1</v>
      </c>
      <c r="I23" s="414">
        <v>0</v>
      </c>
      <c r="J23" s="32"/>
      <c r="K23" s="174"/>
    </row>
    <row r="24" spans="2:11" ht="15.75" thickTop="1" thickBot="1">
      <c r="B24" s="272" t="s">
        <v>360</v>
      </c>
      <c r="C24" s="414">
        <f t="shared" si="1"/>
        <v>110</v>
      </c>
      <c r="D24" s="414">
        <v>0</v>
      </c>
      <c r="E24" s="414">
        <v>33</v>
      </c>
      <c r="F24" s="414">
        <v>25</v>
      </c>
      <c r="G24" s="414">
        <v>33</v>
      </c>
      <c r="H24" s="414">
        <v>6</v>
      </c>
      <c r="I24" s="414">
        <v>13</v>
      </c>
      <c r="J24" s="32"/>
      <c r="K24" s="174"/>
    </row>
    <row r="25" spans="2:11" ht="15.75" thickTop="1" thickBot="1">
      <c r="B25" s="272" t="s">
        <v>222</v>
      </c>
      <c r="C25" s="414">
        <f t="shared" si="1"/>
        <v>651</v>
      </c>
      <c r="D25" s="414">
        <v>17</v>
      </c>
      <c r="E25" s="414">
        <v>521</v>
      </c>
      <c r="F25" s="414">
        <v>52</v>
      </c>
      <c r="G25" s="414">
        <v>29</v>
      </c>
      <c r="H25" s="414">
        <v>13</v>
      </c>
      <c r="I25" s="414">
        <v>19</v>
      </c>
      <c r="J25" s="32"/>
      <c r="K25" s="174"/>
    </row>
    <row r="26" spans="2:11" ht="15.75" thickTop="1" thickBot="1">
      <c r="B26" s="272" t="s">
        <v>223</v>
      </c>
      <c r="C26" s="414">
        <f t="shared" si="1"/>
        <v>35</v>
      </c>
      <c r="D26" s="414">
        <v>1</v>
      </c>
      <c r="E26" s="414">
        <v>26</v>
      </c>
      <c r="F26" s="414">
        <v>2</v>
      </c>
      <c r="G26" s="414">
        <v>3</v>
      </c>
      <c r="H26" s="414">
        <v>1</v>
      </c>
      <c r="I26" s="414">
        <v>2</v>
      </c>
      <c r="J26" s="32"/>
      <c r="K26" s="174"/>
    </row>
    <row r="27" spans="2:11" ht="15.75" thickTop="1" thickBot="1">
      <c r="B27" s="272" t="s">
        <v>361</v>
      </c>
      <c r="C27" s="414">
        <f t="shared" si="1"/>
        <v>350</v>
      </c>
      <c r="D27" s="414">
        <v>5</v>
      </c>
      <c r="E27" s="414">
        <v>84</v>
      </c>
      <c r="F27" s="414">
        <v>52</v>
      </c>
      <c r="G27" s="414">
        <v>54</v>
      </c>
      <c r="H27" s="414">
        <v>108</v>
      </c>
      <c r="I27" s="414">
        <v>47</v>
      </c>
      <c r="J27" s="32"/>
      <c r="K27" s="174"/>
    </row>
    <row r="28" spans="2:11" ht="15.75" thickTop="1" thickBot="1">
      <c r="B28" s="272" t="s">
        <v>225</v>
      </c>
      <c r="C28" s="414">
        <f t="shared" si="1"/>
        <v>373</v>
      </c>
      <c r="D28" s="414">
        <v>8</v>
      </c>
      <c r="E28" s="414">
        <v>240</v>
      </c>
      <c r="F28" s="414">
        <v>57</v>
      </c>
      <c r="G28" s="414">
        <v>34</v>
      </c>
      <c r="H28" s="414">
        <v>20</v>
      </c>
      <c r="I28" s="414">
        <v>14</v>
      </c>
      <c r="J28" s="32"/>
      <c r="K28" s="174"/>
    </row>
    <row r="29" spans="2:11" ht="15.75" thickTop="1" thickBot="1">
      <c r="B29" s="272" t="s">
        <v>226</v>
      </c>
      <c r="C29" s="414">
        <f t="shared" si="1"/>
        <v>235</v>
      </c>
      <c r="D29" s="414">
        <v>2</v>
      </c>
      <c r="E29" s="414">
        <v>78</v>
      </c>
      <c r="F29" s="414">
        <v>47</v>
      </c>
      <c r="G29" s="414">
        <v>64</v>
      </c>
      <c r="H29" s="414">
        <v>27</v>
      </c>
      <c r="I29" s="414">
        <v>17</v>
      </c>
      <c r="J29" s="32"/>
      <c r="K29" s="174"/>
    </row>
    <row r="30" spans="2:11" ht="15.75" thickTop="1" thickBot="1">
      <c r="B30" s="272" t="s">
        <v>227</v>
      </c>
      <c r="C30" s="414">
        <f t="shared" si="1"/>
        <v>67</v>
      </c>
      <c r="D30" s="414">
        <v>5</v>
      </c>
      <c r="E30" s="414">
        <v>37</v>
      </c>
      <c r="F30" s="414">
        <v>8</v>
      </c>
      <c r="G30" s="414">
        <v>11</v>
      </c>
      <c r="H30" s="414">
        <v>5</v>
      </c>
      <c r="I30" s="414">
        <v>1</v>
      </c>
      <c r="J30" s="32"/>
      <c r="K30" s="174"/>
    </row>
    <row r="31" spans="2:11" ht="15.75" thickTop="1" thickBot="1">
      <c r="B31" s="272" t="s">
        <v>362</v>
      </c>
      <c r="C31" s="414">
        <f t="shared" si="1"/>
        <v>62</v>
      </c>
      <c r="D31" s="414">
        <v>0</v>
      </c>
      <c r="E31" s="414">
        <v>16</v>
      </c>
      <c r="F31" s="414">
        <v>16</v>
      </c>
      <c r="G31" s="414">
        <v>13</v>
      </c>
      <c r="H31" s="414">
        <v>10</v>
      </c>
      <c r="I31" s="414">
        <v>7</v>
      </c>
      <c r="J31" s="32"/>
      <c r="K31" s="174"/>
    </row>
    <row r="32" spans="2:11" ht="15.75" thickTop="1" thickBot="1">
      <c r="B32" s="272" t="s">
        <v>229</v>
      </c>
      <c r="C32" s="414">
        <f t="shared" si="1"/>
        <v>93</v>
      </c>
      <c r="D32" s="414">
        <v>4</v>
      </c>
      <c r="E32" s="414">
        <v>57</v>
      </c>
      <c r="F32" s="414">
        <v>9</v>
      </c>
      <c r="G32" s="414">
        <v>10</v>
      </c>
      <c r="H32" s="414">
        <v>6</v>
      </c>
      <c r="I32" s="414">
        <v>7</v>
      </c>
      <c r="J32" s="32"/>
      <c r="K32" s="174"/>
    </row>
    <row r="33" spans="2:11" ht="15.75" thickTop="1" thickBot="1">
      <c r="B33" s="272" t="s">
        <v>230</v>
      </c>
      <c r="C33" s="414">
        <f t="shared" si="1"/>
        <v>84</v>
      </c>
      <c r="D33" s="414">
        <v>2</v>
      </c>
      <c r="E33" s="414">
        <v>36</v>
      </c>
      <c r="F33" s="414">
        <v>20</v>
      </c>
      <c r="G33" s="414">
        <v>9</v>
      </c>
      <c r="H33" s="414">
        <v>11</v>
      </c>
      <c r="I33" s="414">
        <v>6</v>
      </c>
      <c r="J33" s="32"/>
      <c r="K33" s="174"/>
    </row>
    <row r="34" spans="2:11" ht="15.75" thickTop="1" thickBot="1">
      <c r="B34" s="272" t="s">
        <v>363</v>
      </c>
      <c r="C34" s="414">
        <f t="shared" si="1"/>
        <v>77</v>
      </c>
      <c r="D34" s="414">
        <v>3</v>
      </c>
      <c r="E34" s="414">
        <v>31</v>
      </c>
      <c r="F34" s="414">
        <v>21</v>
      </c>
      <c r="G34" s="414">
        <v>15</v>
      </c>
      <c r="H34" s="414">
        <v>5</v>
      </c>
      <c r="I34" s="414">
        <v>2</v>
      </c>
      <c r="J34" s="32"/>
      <c r="K34" s="174"/>
    </row>
    <row r="35" spans="2:11" ht="15.75" thickTop="1" thickBot="1">
      <c r="B35" s="272" t="s">
        <v>232</v>
      </c>
      <c r="C35" s="414">
        <f t="shared" si="1"/>
        <v>62</v>
      </c>
      <c r="D35" s="414">
        <v>1</v>
      </c>
      <c r="E35" s="414">
        <v>43</v>
      </c>
      <c r="F35" s="414">
        <v>6</v>
      </c>
      <c r="G35" s="414">
        <v>9</v>
      </c>
      <c r="H35" s="414">
        <v>2</v>
      </c>
      <c r="I35" s="414">
        <v>1</v>
      </c>
      <c r="J35" s="32"/>
      <c r="K35" s="174"/>
    </row>
    <row r="36" spans="2:11" ht="15.75" thickTop="1" thickBot="1">
      <c r="B36" s="272" t="s">
        <v>233</v>
      </c>
      <c r="C36" s="414">
        <f t="shared" si="1"/>
        <v>743</v>
      </c>
      <c r="D36" s="414">
        <v>7</v>
      </c>
      <c r="E36" s="414">
        <v>580</v>
      </c>
      <c r="F36" s="414">
        <v>77</v>
      </c>
      <c r="G36" s="414">
        <v>38</v>
      </c>
      <c r="H36" s="414">
        <v>20</v>
      </c>
      <c r="I36" s="414">
        <v>21</v>
      </c>
      <c r="J36" s="32"/>
      <c r="K36" s="174"/>
    </row>
    <row r="37" spans="2:11" ht="15.75" thickTop="1" thickBot="1">
      <c r="B37" s="272" t="s">
        <v>426</v>
      </c>
      <c r="C37" s="414">
        <f t="shared" si="1"/>
        <v>35</v>
      </c>
      <c r="D37" s="414">
        <v>7</v>
      </c>
      <c r="E37" s="414">
        <v>18</v>
      </c>
      <c r="F37" s="414">
        <v>4</v>
      </c>
      <c r="G37" s="414">
        <v>2</v>
      </c>
      <c r="H37" s="414">
        <v>3</v>
      </c>
      <c r="I37" s="414">
        <v>1</v>
      </c>
      <c r="J37" s="32"/>
      <c r="K37" s="174"/>
    </row>
    <row r="38" spans="2:11" ht="15.75" thickTop="1" thickBot="1">
      <c r="B38" s="272" t="s">
        <v>235</v>
      </c>
      <c r="C38" s="414">
        <f t="shared" si="1"/>
        <v>51</v>
      </c>
      <c r="D38" s="414">
        <v>2</v>
      </c>
      <c r="E38" s="414">
        <v>38</v>
      </c>
      <c r="F38" s="414">
        <v>4</v>
      </c>
      <c r="G38" s="414">
        <v>4</v>
      </c>
      <c r="H38" s="414">
        <v>3</v>
      </c>
      <c r="I38" s="414">
        <v>0</v>
      </c>
      <c r="J38" s="32"/>
      <c r="K38" s="174"/>
    </row>
    <row r="39" spans="2:11" ht="15.75" thickTop="1" thickBot="1">
      <c r="B39" s="272" t="s">
        <v>236</v>
      </c>
      <c r="C39" s="414">
        <f t="shared" si="1"/>
        <v>205</v>
      </c>
      <c r="D39" s="414">
        <v>0</v>
      </c>
      <c r="E39" s="414">
        <v>196</v>
      </c>
      <c r="F39" s="414">
        <v>6</v>
      </c>
      <c r="G39" s="414">
        <v>2</v>
      </c>
      <c r="H39" s="414">
        <v>1</v>
      </c>
      <c r="I39" s="414">
        <v>0</v>
      </c>
      <c r="J39" s="32"/>
      <c r="K39" s="174"/>
    </row>
    <row r="40" spans="2:11" ht="15.75" thickTop="1" thickBot="1">
      <c r="B40" s="272" t="s">
        <v>237</v>
      </c>
      <c r="C40" s="414">
        <f t="shared" si="1"/>
        <v>81</v>
      </c>
      <c r="D40" s="414">
        <v>0</v>
      </c>
      <c r="E40" s="414">
        <v>76</v>
      </c>
      <c r="F40" s="414">
        <v>1</v>
      </c>
      <c r="G40" s="414">
        <v>4</v>
      </c>
      <c r="H40" s="414">
        <v>0</v>
      </c>
      <c r="I40" s="414">
        <v>0</v>
      </c>
      <c r="J40" s="32"/>
      <c r="K40" s="174"/>
    </row>
    <row r="41" spans="2:11" ht="15.75" thickTop="1" thickBot="1">
      <c r="B41" s="272" t="s">
        <v>238</v>
      </c>
      <c r="C41" s="414">
        <f t="shared" si="1"/>
        <v>32</v>
      </c>
      <c r="D41" s="414">
        <v>2</v>
      </c>
      <c r="E41" s="414">
        <v>24</v>
      </c>
      <c r="F41" s="414">
        <v>4</v>
      </c>
      <c r="G41" s="414">
        <v>0</v>
      </c>
      <c r="H41" s="414">
        <v>1</v>
      </c>
      <c r="I41" s="414">
        <v>1</v>
      </c>
      <c r="J41" s="32"/>
      <c r="K41" s="174"/>
    </row>
    <row r="42" spans="2:11" ht="15.75" thickTop="1" thickBot="1">
      <c r="B42" s="272" t="s">
        <v>424</v>
      </c>
      <c r="C42" s="414">
        <f t="shared" si="1"/>
        <v>271</v>
      </c>
      <c r="D42" s="414">
        <v>2</v>
      </c>
      <c r="E42" s="414">
        <v>75</v>
      </c>
      <c r="F42" s="414">
        <v>92</v>
      </c>
      <c r="G42" s="414">
        <v>70</v>
      </c>
      <c r="H42" s="414">
        <v>17</v>
      </c>
      <c r="I42" s="414">
        <v>15</v>
      </c>
      <c r="J42" s="32"/>
      <c r="K42" s="174"/>
    </row>
    <row r="43" spans="2:11" ht="15.75" thickTop="1" thickBot="1">
      <c r="B43" s="272" t="s">
        <v>365</v>
      </c>
      <c r="C43" s="414">
        <f t="shared" si="1"/>
        <v>118</v>
      </c>
      <c r="D43" s="414">
        <v>1</v>
      </c>
      <c r="E43" s="414">
        <v>65</v>
      </c>
      <c r="F43" s="414">
        <v>19</v>
      </c>
      <c r="G43" s="414">
        <v>14</v>
      </c>
      <c r="H43" s="414">
        <v>7</v>
      </c>
      <c r="I43" s="414">
        <v>12</v>
      </c>
      <c r="J43" s="32"/>
      <c r="K43" s="174"/>
    </row>
    <row r="44" spans="2:11" ht="15.75" thickTop="1" thickBot="1">
      <c r="B44" s="272" t="s">
        <v>366</v>
      </c>
      <c r="C44" s="414">
        <f t="shared" si="1"/>
        <v>275</v>
      </c>
      <c r="D44" s="414">
        <v>6</v>
      </c>
      <c r="E44" s="414">
        <v>129</v>
      </c>
      <c r="F44" s="414">
        <v>17</v>
      </c>
      <c r="G44" s="414">
        <v>44</v>
      </c>
      <c r="H44" s="414">
        <v>43</v>
      </c>
      <c r="I44" s="414">
        <v>36</v>
      </c>
      <c r="J44" s="32"/>
      <c r="K44" s="174"/>
    </row>
    <row r="45" spans="2:11" ht="15.75" thickTop="1" thickBot="1">
      <c r="B45" s="272" t="s">
        <v>367</v>
      </c>
      <c r="C45" s="414">
        <f t="shared" si="1"/>
        <v>195</v>
      </c>
      <c r="D45" s="414">
        <v>3</v>
      </c>
      <c r="E45" s="414">
        <v>188</v>
      </c>
      <c r="F45" s="414">
        <v>2</v>
      </c>
      <c r="G45" s="414">
        <v>2</v>
      </c>
      <c r="H45" s="414">
        <v>0</v>
      </c>
      <c r="I45" s="414">
        <v>0</v>
      </c>
      <c r="J45" s="32"/>
      <c r="K45" s="174"/>
    </row>
    <row r="46" spans="2:11" ht="15.75" thickTop="1" thickBot="1">
      <c r="B46" s="272" t="s">
        <v>368</v>
      </c>
      <c r="C46" s="414">
        <f t="shared" si="1"/>
        <v>127</v>
      </c>
      <c r="D46" s="414">
        <v>2</v>
      </c>
      <c r="E46" s="414">
        <v>101</v>
      </c>
      <c r="F46" s="414">
        <v>6</v>
      </c>
      <c r="G46" s="414">
        <v>9</v>
      </c>
      <c r="H46" s="414">
        <v>4</v>
      </c>
      <c r="I46" s="414">
        <v>5</v>
      </c>
      <c r="J46" s="32"/>
      <c r="K46" s="174"/>
    </row>
    <row r="47" spans="2:11" ht="15.75" thickTop="1" thickBot="1">
      <c r="B47" s="272" t="s">
        <v>369</v>
      </c>
      <c r="C47" s="414">
        <f t="shared" si="1"/>
        <v>52</v>
      </c>
      <c r="D47" s="414">
        <v>0</v>
      </c>
      <c r="E47" s="414">
        <v>43</v>
      </c>
      <c r="F47" s="414">
        <v>5</v>
      </c>
      <c r="G47" s="414">
        <v>4</v>
      </c>
      <c r="H47" s="414">
        <v>0</v>
      </c>
      <c r="I47" s="414">
        <v>0</v>
      </c>
      <c r="J47" s="32"/>
      <c r="K47" s="174"/>
    </row>
    <row r="48" spans="2:11" ht="15.75" thickTop="1" thickBot="1">
      <c r="B48" s="272" t="s">
        <v>427</v>
      </c>
      <c r="C48" s="414">
        <f t="shared" si="1"/>
        <v>55</v>
      </c>
      <c r="D48" s="414">
        <v>2</v>
      </c>
      <c r="E48" s="414">
        <v>29</v>
      </c>
      <c r="F48" s="414">
        <v>9</v>
      </c>
      <c r="G48" s="414">
        <v>7</v>
      </c>
      <c r="H48" s="414">
        <v>4</v>
      </c>
      <c r="I48" s="414">
        <v>4</v>
      </c>
      <c r="J48" s="32"/>
      <c r="K48" s="174"/>
    </row>
    <row r="49" spans="2:11" ht="15.75" thickTop="1" thickBot="1">
      <c r="B49" s="272" t="s">
        <v>371</v>
      </c>
      <c r="C49" s="414">
        <f t="shared" si="1"/>
        <v>99</v>
      </c>
      <c r="D49" s="414">
        <v>1</v>
      </c>
      <c r="E49" s="414">
        <v>28</v>
      </c>
      <c r="F49" s="414">
        <v>29</v>
      </c>
      <c r="G49" s="414">
        <v>21</v>
      </c>
      <c r="H49" s="414">
        <v>15</v>
      </c>
      <c r="I49" s="414">
        <v>5</v>
      </c>
      <c r="J49" s="32"/>
      <c r="K49" s="174"/>
    </row>
    <row r="50" spans="2:11" ht="15.75" thickTop="1" thickBot="1">
      <c r="B50" s="272" t="s">
        <v>372</v>
      </c>
      <c r="C50" s="414">
        <f t="shared" si="1"/>
        <v>214</v>
      </c>
      <c r="D50" s="414">
        <v>30</v>
      </c>
      <c r="E50" s="414">
        <v>51</v>
      </c>
      <c r="F50" s="414">
        <v>36</v>
      </c>
      <c r="G50" s="414">
        <v>33</v>
      </c>
      <c r="H50" s="414">
        <v>30</v>
      </c>
      <c r="I50" s="414">
        <v>34</v>
      </c>
      <c r="J50" s="32"/>
      <c r="K50" s="174"/>
    </row>
    <row r="51" spans="2:11" ht="15.75" thickTop="1" thickBot="1">
      <c r="B51" s="272" t="s">
        <v>373</v>
      </c>
      <c r="C51" s="414">
        <f t="shared" si="1"/>
        <v>75</v>
      </c>
      <c r="D51" s="414">
        <v>3</v>
      </c>
      <c r="E51" s="414">
        <v>17</v>
      </c>
      <c r="F51" s="414">
        <v>16</v>
      </c>
      <c r="G51" s="414">
        <v>17</v>
      </c>
      <c r="H51" s="414">
        <v>11</v>
      </c>
      <c r="I51" s="414">
        <v>11</v>
      </c>
      <c r="J51" s="32"/>
      <c r="K51" s="174"/>
    </row>
    <row r="52" spans="2:11" ht="15.75" thickTop="1" thickBot="1">
      <c r="B52" s="272" t="s">
        <v>374</v>
      </c>
      <c r="C52" s="414">
        <f t="shared" si="1"/>
        <v>331</v>
      </c>
      <c r="D52" s="414">
        <v>2</v>
      </c>
      <c r="E52" s="414">
        <v>19</v>
      </c>
      <c r="F52" s="414">
        <v>30</v>
      </c>
      <c r="G52" s="414">
        <v>43</v>
      </c>
      <c r="H52" s="414">
        <v>214</v>
      </c>
      <c r="I52" s="414">
        <v>23</v>
      </c>
      <c r="J52" s="32"/>
      <c r="K52" s="174"/>
    </row>
    <row r="53" spans="2:11" ht="15.75" thickTop="1" thickBot="1">
      <c r="B53" s="272" t="s">
        <v>375</v>
      </c>
      <c r="C53" s="414">
        <f t="shared" si="1"/>
        <v>48</v>
      </c>
      <c r="D53" s="414">
        <v>0</v>
      </c>
      <c r="E53" s="414">
        <v>19</v>
      </c>
      <c r="F53" s="414">
        <v>13</v>
      </c>
      <c r="G53" s="414">
        <v>8</v>
      </c>
      <c r="H53" s="414">
        <v>4</v>
      </c>
      <c r="I53" s="414">
        <v>4</v>
      </c>
      <c r="J53" s="32"/>
      <c r="K53" s="174"/>
    </row>
    <row r="54" spans="2:11" ht="15.75" thickTop="1" thickBot="1">
      <c r="B54" s="272" t="s">
        <v>376</v>
      </c>
      <c r="C54" s="414">
        <f t="shared" si="1"/>
        <v>113</v>
      </c>
      <c r="D54" s="414">
        <v>2</v>
      </c>
      <c r="E54" s="414">
        <v>23</v>
      </c>
      <c r="F54" s="414">
        <v>22</v>
      </c>
      <c r="G54" s="414">
        <v>28</v>
      </c>
      <c r="H54" s="414">
        <v>22</v>
      </c>
      <c r="I54" s="414">
        <v>16</v>
      </c>
      <c r="J54" s="32"/>
      <c r="K54" s="174"/>
    </row>
    <row r="55" spans="2:11" ht="15.75" thickTop="1" thickBot="1">
      <c r="B55" s="272" t="s">
        <v>377</v>
      </c>
      <c r="C55" s="414">
        <f t="shared" si="1"/>
        <v>46</v>
      </c>
      <c r="D55" s="414">
        <v>0</v>
      </c>
      <c r="E55" s="414">
        <v>8</v>
      </c>
      <c r="F55" s="414">
        <v>11</v>
      </c>
      <c r="G55" s="414">
        <v>12</v>
      </c>
      <c r="H55" s="414">
        <v>3</v>
      </c>
      <c r="I55" s="414">
        <v>12</v>
      </c>
      <c r="J55" s="32"/>
      <c r="K55" s="174"/>
    </row>
    <row r="56" spans="2:11" ht="15.75" thickTop="1" thickBot="1">
      <c r="B56" s="272" t="s">
        <v>378</v>
      </c>
      <c r="C56" s="414">
        <f t="shared" si="1"/>
        <v>97</v>
      </c>
      <c r="D56" s="414">
        <v>0</v>
      </c>
      <c r="E56" s="414">
        <v>26</v>
      </c>
      <c r="F56" s="414">
        <v>9</v>
      </c>
      <c r="G56" s="414">
        <v>46</v>
      </c>
      <c r="H56" s="414">
        <v>9</v>
      </c>
      <c r="I56" s="414">
        <v>7</v>
      </c>
      <c r="J56" s="32"/>
      <c r="K56" s="174"/>
    </row>
    <row r="57" spans="2:11" ht="15.75" thickTop="1" thickBot="1">
      <c r="B57" s="272" t="s">
        <v>379</v>
      </c>
      <c r="C57" s="414">
        <f t="shared" si="1"/>
        <v>27</v>
      </c>
      <c r="D57" s="414">
        <v>1</v>
      </c>
      <c r="E57" s="414">
        <v>7</v>
      </c>
      <c r="F57" s="414">
        <v>7</v>
      </c>
      <c r="G57" s="414">
        <v>5</v>
      </c>
      <c r="H57" s="414">
        <v>3</v>
      </c>
      <c r="I57" s="414">
        <v>4</v>
      </c>
      <c r="J57" s="32"/>
      <c r="K57" s="174"/>
    </row>
    <row r="58" spans="2:11" ht="15.75" thickTop="1" thickBot="1">
      <c r="B58" s="272" t="s">
        <v>380</v>
      </c>
      <c r="C58" s="414">
        <f t="shared" si="1"/>
        <v>113</v>
      </c>
      <c r="D58" s="414">
        <v>2</v>
      </c>
      <c r="E58" s="414">
        <v>18</v>
      </c>
      <c r="F58" s="414">
        <v>77</v>
      </c>
      <c r="G58" s="414">
        <v>8</v>
      </c>
      <c r="H58" s="414">
        <v>5</v>
      </c>
      <c r="I58" s="414">
        <v>3</v>
      </c>
      <c r="J58" s="32"/>
      <c r="K58" s="174"/>
    </row>
    <row r="59" spans="2:11" ht="15.75" thickTop="1" thickBot="1">
      <c r="B59" s="272" t="s">
        <v>381</v>
      </c>
      <c r="C59" s="414">
        <f t="shared" si="1"/>
        <v>237</v>
      </c>
      <c r="D59" s="414">
        <v>21</v>
      </c>
      <c r="E59" s="414">
        <v>197</v>
      </c>
      <c r="F59" s="414">
        <v>9</v>
      </c>
      <c r="G59" s="414">
        <v>6</v>
      </c>
      <c r="H59" s="414">
        <v>2</v>
      </c>
      <c r="I59" s="414">
        <v>2</v>
      </c>
      <c r="J59" s="32"/>
      <c r="K59" s="174"/>
    </row>
    <row r="60" spans="2:11" ht="15.75" thickTop="1" thickBot="1">
      <c r="B60" s="272" t="s">
        <v>382</v>
      </c>
      <c r="C60" s="414">
        <f t="shared" si="1"/>
        <v>91</v>
      </c>
      <c r="D60" s="414">
        <v>2</v>
      </c>
      <c r="E60" s="414">
        <v>41</v>
      </c>
      <c r="F60" s="414">
        <v>10</v>
      </c>
      <c r="G60" s="414">
        <v>10</v>
      </c>
      <c r="H60" s="414">
        <v>3</v>
      </c>
      <c r="I60" s="414">
        <v>25</v>
      </c>
      <c r="J60" s="32"/>
      <c r="K60" s="174"/>
    </row>
    <row r="61" spans="2:11" ht="15.75" thickTop="1" thickBot="1">
      <c r="B61" s="272" t="s">
        <v>383</v>
      </c>
      <c r="C61" s="414">
        <f t="shared" si="1"/>
        <v>169</v>
      </c>
      <c r="D61" s="414">
        <v>6</v>
      </c>
      <c r="E61" s="414">
        <v>110</v>
      </c>
      <c r="F61" s="414">
        <v>13</v>
      </c>
      <c r="G61" s="414">
        <v>13</v>
      </c>
      <c r="H61" s="414">
        <v>5</v>
      </c>
      <c r="I61" s="414">
        <v>22</v>
      </c>
      <c r="J61" s="32"/>
      <c r="K61" s="174"/>
    </row>
    <row r="62" spans="2:11" ht="15.75" thickTop="1" thickBot="1">
      <c r="B62" s="272" t="s">
        <v>384</v>
      </c>
      <c r="C62" s="414">
        <f t="shared" si="1"/>
        <v>402</v>
      </c>
      <c r="D62" s="414">
        <v>20</v>
      </c>
      <c r="E62" s="414">
        <v>204</v>
      </c>
      <c r="F62" s="414">
        <v>47</v>
      </c>
      <c r="G62" s="414">
        <v>37</v>
      </c>
      <c r="H62" s="414">
        <v>27</v>
      </c>
      <c r="I62" s="414">
        <v>67</v>
      </c>
      <c r="J62" s="32"/>
      <c r="K62" s="174"/>
    </row>
    <row r="63" spans="2:11" ht="15.75" thickTop="1" thickBot="1">
      <c r="B63" s="272" t="s">
        <v>385</v>
      </c>
      <c r="C63" s="414">
        <f t="shared" si="1"/>
        <v>36</v>
      </c>
      <c r="D63" s="414">
        <v>1</v>
      </c>
      <c r="E63" s="414">
        <v>28</v>
      </c>
      <c r="F63" s="414">
        <v>3</v>
      </c>
      <c r="G63" s="414">
        <v>4</v>
      </c>
      <c r="H63" s="414">
        <v>0</v>
      </c>
      <c r="I63" s="414">
        <v>0</v>
      </c>
      <c r="J63" s="32"/>
      <c r="K63" s="174"/>
    </row>
    <row r="64" spans="2:11" ht="15.75" thickTop="1" thickBot="1">
      <c r="B64" s="272" t="s">
        <v>386</v>
      </c>
      <c r="C64" s="414">
        <f t="shared" si="1"/>
        <v>94</v>
      </c>
      <c r="D64" s="414">
        <v>0</v>
      </c>
      <c r="E64" s="414">
        <v>64</v>
      </c>
      <c r="F64" s="414">
        <v>10</v>
      </c>
      <c r="G64" s="414">
        <v>15</v>
      </c>
      <c r="H64" s="414">
        <v>1</v>
      </c>
      <c r="I64" s="414">
        <v>4</v>
      </c>
      <c r="J64" s="32"/>
      <c r="K64" s="174"/>
    </row>
    <row r="65" spans="2:11" ht="15.75" thickTop="1" thickBot="1">
      <c r="B65" s="272" t="s">
        <v>387</v>
      </c>
      <c r="C65" s="414">
        <f t="shared" si="1"/>
        <v>44</v>
      </c>
      <c r="D65" s="414">
        <v>1</v>
      </c>
      <c r="E65" s="414">
        <v>29</v>
      </c>
      <c r="F65" s="414">
        <v>6</v>
      </c>
      <c r="G65" s="414">
        <v>5</v>
      </c>
      <c r="H65" s="414">
        <v>1</v>
      </c>
      <c r="I65" s="414">
        <v>2</v>
      </c>
      <c r="J65" s="32"/>
      <c r="K65" s="174"/>
    </row>
    <row r="66" spans="2:11" ht="15.75" thickTop="1" thickBot="1">
      <c r="B66" s="272" t="s">
        <v>388</v>
      </c>
      <c r="C66" s="414">
        <f t="shared" si="1"/>
        <v>45</v>
      </c>
      <c r="D66" s="414">
        <v>3</v>
      </c>
      <c r="E66" s="414">
        <v>31</v>
      </c>
      <c r="F66" s="414">
        <v>9</v>
      </c>
      <c r="G66" s="414">
        <v>0</v>
      </c>
      <c r="H66" s="414">
        <v>2</v>
      </c>
      <c r="I66" s="414">
        <v>0</v>
      </c>
      <c r="J66" s="32"/>
      <c r="K66" s="174"/>
    </row>
    <row r="67" spans="2:11" ht="15.75" thickTop="1" thickBot="1">
      <c r="B67" s="272" t="s">
        <v>389</v>
      </c>
      <c r="C67" s="414">
        <f t="shared" si="1"/>
        <v>58</v>
      </c>
      <c r="D67" s="414">
        <v>0</v>
      </c>
      <c r="E67" s="414">
        <v>35</v>
      </c>
      <c r="F67" s="414">
        <v>8</v>
      </c>
      <c r="G67" s="414">
        <v>6</v>
      </c>
      <c r="H67" s="414">
        <v>3</v>
      </c>
      <c r="I67" s="414">
        <v>6</v>
      </c>
      <c r="J67" s="32"/>
      <c r="K67" s="174"/>
    </row>
    <row r="68" spans="2:11" ht="15.75" thickTop="1" thickBot="1">
      <c r="B68" s="272" t="s">
        <v>390</v>
      </c>
      <c r="C68" s="414">
        <f t="shared" si="1"/>
        <v>47</v>
      </c>
      <c r="D68" s="414">
        <v>2</v>
      </c>
      <c r="E68" s="414">
        <v>36</v>
      </c>
      <c r="F68" s="414">
        <v>4</v>
      </c>
      <c r="G68" s="414">
        <v>2</v>
      </c>
      <c r="H68" s="414">
        <v>1</v>
      </c>
      <c r="I68" s="414">
        <v>2</v>
      </c>
      <c r="J68" s="32"/>
      <c r="K68" s="174"/>
    </row>
    <row r="69" spans="2:11" ht="15.75" thickTop="1" thickBot="1">
      <c r="B69" s="272" t="s">
        <v>391</v>
      </c>
      <c r="C69" s="414">
        <f t="shared" si="1"/>
        <v>91</v>
      </c>
      <c r="D69" s="414">
        <v>2</v>
      </c>
      <c r="E69" s="414">
        <v>84</v>
      </c>
      <c r="F69" s="414">
        <v>3</v>
      </c>
      <c r="G69" s="414">
        <v>2</v>
      </c>
      <c r="H69" s="414">
        <v>0</v>
      </c>
      <c r="I69" s="414">
        <v>0</v>
      </c>
      <c r="J69" s="32"/>
      <c r="K69" s="174"/>
    </row>
    <row r="70" spans="2:11" ht="15.75" thickTop="1" thickBot="1">
      <c r="B70" s="272" t="s">
        <v>392</v>
      </c>
      <c r="C70" s="414">
        <f t="shared" si="1"/>
        <v>61</v>
      </c>
      <c r="D70" s="414">
        <v>0</v>
      </c>
      <c r="E70" s="414">
        <v>48</v>
      </c>
      <c r="F70" s="414">
        <v>5</v>
      </c>
      <c r="G70" s="414">
        <v>7</v>
      </c>
      <c r="H70" s="414">
        <v>0</v>
      </c>
      <c r="I70" s="414">
        <v>1</v>
      </c>
      <c r="J70" s="32"/>
      <c r="K70" s="174"/>
    </row>
    <row r="71" spans="2:11" ht="15.75" thickTop="1" thickBot="1">
      <c r="B71" s="272" t="s">
        <v>393</v>
      </c>
      <c r="C71" s="414">
        <f t="shared" ref="C71:C87" si="2">SUM(D71:I71)</f>
        <v>262</v>
      </c>
      <c r="D71" s="414">
        <v>27</v>
      </c>
      <c r="E71" s="414">
        <v>140</v>
      </c>
      <c r="F71" s="414">
        <v>44</v>
      </c>
      <c r="G71" s="414">
        <v>12</v>
      </c>
      <c r="H71" s="414">
        <v>22</v>
      </c>
      <c r="I71" s="414">
        <v>17</v>
      </c>
      <c r="J71" s="32"/>
      <c r="K71" s="174"/>
    </row>
    <row r="72" spans="2:11" ht="15.75" thickTop="1" thickBot="1">
      <c r="B72" s="272" t="s">
        <v>394</v>
      </c>
      <c r="C72" s="414">
        <f t="shared" si="2"/>
        <v>53</v>
      </c>
      <c r="D72" s="414">
        <v>3</v>
      </c>
      <c r="E72" s="414">
        <v>29</v>
      </c>
      <c r="F72" s="414">
        <v>13</v>
      </c>
      <c r="G72" s="414">
        <v>5</v>
      </c>
      <c r="H72" s="414">
        <v>0</v>
      </c>
      <c r="I72" s="414">
        <v>3</v>
      </c>
      <c r="J72" s="32"/>
      <c r="K72" s="174"/>
    </row>
    <row r="73" spans="2:11" ht="15.75" thickTop="1" thickBot="1">
      <c r="B73" s="272" t="s">
        <v>395</v>
      </c>
      <c r="C73" s="414">
        <f t="shared" si="2"/>
        <v>127</v>
      </c>
      <c r="D73" s="414">
        <v>5</v>
      </c>
      <c r="E73" s="414">
        <v>115</v>
      </c>
      <c r="F73" s="414">
        <v>4</v>
      </c>
      <c r="G73" s="414">
        <v>1</v>
      </c>
      <c r="H73" s="414">
        <v>1</v>
      </c>
      <c r="I73" s="414">
        <v>1</v>
      </c>
      <c r="J73" s="32"/>
      <c r="K73" s="174"/>
    </row>
    <row r="74" spans="2:11" ht="15.75" thickTop="1" thickBot="1">
      <c r="B74" s="272" t="s">
        <v>396</v>
      </c>
      <c r="C74" s="414">
        <f t="shared" si="2"/>
        <v>34</v>
      </c>
      <c r="D74" s="414">
        <v>3</v>
      </c>
      <c r="E74" s="414">
        <v>20</v>
      </c>
      <c r="F74" s="414">
        <v>7</v>
      </c>
      <c r="G74" s="414">
        <v>2</v>
      </c>
      <c r="H74" s="414">
        <v>1</v>
      </c>
      <c r="I74" s="414">
        <v>1</v>
      </c>
      <c r="J74" s="32"/>
      <c r="K74" s="174"/>
    </row>
    <row r="75" spans="2:11" ht="15.75" thickTop="1" thickBot="1">
      <c r="B75" s="272" t="s">
        <v>428</v>
      </c>
      <c r="C75" s="414">
        <f t="shared" si="2"/>
        <v>214</v>
      </c>
      <c r="D75" s="414">
        <v>10</v>
      </c>
      <c r="E75" s="414">
        <v>121</v>
      </c>
      <c r="F75" s="414">
        <v>21</v>
      </c>
      <c r="G75" s="414">
        <v>11</v>
      </c>
      <c r="H75" s="414">
        <v>15</v>
      </c>
      <c r="I75" s="414">
        <v>36</v>
      </c>
      <c r="J75" s="32"/>
      <c r="K75" s="174"/>
    </row>
    <row r="76" spans="2:11" ht="15.75" thickTop="1" thickBot="1">
      <c r="B76" s="272" t="s">
        <v>398</v>
      </c>
      <c r="C76" s="414">
        <f t="shared" si="2"/>
        <v>49</v>
      </c>
      <c r="D76" s="414">
        <v>3</v>
      </c>
      <c r="E76" s="414">
        <v>35</v>
      </c>
      <c r="F76" s="414">
        <v>2</v>
      </c>
      <c r="G76" s="414">
        <v>7</v>
      </c>
      <c r="H76" s="414">
        <v>1</v>
      </c>
      <c r="I76" s="414">
        <v>1</v>
      </c>
      <c r="J76" s="32"/>
      <c r="K76" s="174"/>
    </row>
    <row r="77" spans="2:11" ht="15.75" thickTop="1" thickBot="1">
      <c r="B77" s="272" t="s">
        <v>399</v>
      </c>
      <c r="C77" s="414">
        <f t="shared" si="2"/>
        <v>114</v>
      </c>
      <c r="D77" s="414">
        <v>0</v>
      </c>
      <c r="E77" s="414">
        <v>106</v>
      </c>
      <c r="F77" s="414">
        <v>5</v>
      </c>
      <c r="G77" s="414">
        <v>0</v>
      </c>
      <c r="H77" s="414">
        <v>0</v>
      </c>
      <c r="I77" s="414">
        <v>3</v>
      </c>
      <c r="J77" s="32"/>
      <c r="K77" s="174"/>
    </row>
    <row r="78" spans="2:11" ht="15.75" thickTop="1" thickBot="1">
      <c r="B78" s="272" t="s">
        <v>400</v>
      </c>
      <c r="C78" s="414">
        <f t="shared" si="2"/>
        <v>289</v>
      </c>
      <c r="D78" s="414">
        <v>2</v>
      </c>
      <c r="E78" s="414">
        <v>267</v>
      </c>
      <c r="F78" s="414">
        <v>10</v>
      </c>
      <c r="G78" s="414">
        <v>6</v>
      </c>
      <c r="H78" s="414">
        <v>2</v>
      </c>
      <c r="I78" s="414">
        <v>2</v>
      </c>
      <c r="J78" s="32"/>
      <c r="K78" s="174"/>
    </row>
    <row r="79" spans="2:11" ht="15.75" thickTop="1" thickBot="1">
      <c r="B79" s="272" t="s">
        <v>429</v>
      </c>
      <c r="C79" s="414">
        <f t="shared" si="2"/>
        <v>45</v>
      </c>
      <c r="D79" s="414">
        <v>2</v>
      </c>
      <c r="E79" s="414">
        <v>28</v>
      </c>
      <c r="F79" s="414">
        <v>6</v>
      </c>
      <c r="G79" s="414">
        <v>4</v>
      </c>
      <c r="H79" s="414">
        <v>1</v>
      </c>
      <c r="I79" s="414">
        <v>4</v>
      </c>
      <c r="J79" s="32"/>
      <c r="K79" s="174"/>
    </row>
    <row r="80" spans="2:11" ht="15.75" thickTop="1" thickBot="1">
      <c r="B80" s="272" t="s">
        <v>402</v>
      </c>
      <c r="C80" s="414">
        <f t="shared" si="2"/>
        <v>119</v>
      </c>
      <c r="D80" s="414">
        <v>1</v>
      </c>
      <c r="E80" s="414">
        <v>105</v>
      </c>
      <c r="F80" s="414">
        <v>9</v>
      </c>
      <c r="G80" s="414">
        <v>2</v>
      </c>
      <c r="H80" s="414">
        <v>1</v>
      </c>
      <c r="I80" s="414">
        <v>1</v>
      </c>
      <c r="J80" s="32"/>
      <c r="K80" s="174"/>
    </row>
    <row r="81" spans="2:11" ht="15.75" thickTop="1" thickBot="1">
      <c r="B81" s="272" t="s">
        <v>403</v>
      </c>
      <c r="C81" s="414">
        <f t="shared" si="2"/>
        <v>128</v>
      </c>
      <c r="D81" s="414">
        <v>2</v>
      </c>
      <c r="E81" s="414">
        <v>29</v>
      </c>
      <c r="F81" s="414">
        <v>57</v>
      </c>
      <c r="G81" s="414">
        <v>22</v>
      </c>
      <c r="H81" s="414">
        <v>10</v>
      </c>
      <c r="I81" s="414">
        <v>8</v>
      </c>
      <c r="J81" s="32"/>
      <c r="K81" s="174"/>
    </row>
    <row r="82" spans="2:11" ht="15.75" thickTop="1" thickBot="1">
      <c r="B82" s="272" t="s">
        <v>404</v>
      </c>
      <c r="C82" s="414">
        <f t="shared" si="2"/>
        <v>91</v>
      </c>
      <c r="D82" s="414">
        <v>3</v>
      </c>
      <c r="E82" s="414">
        <v>59</v>
      </c>
      <c r="F82" s="414">
        <v>14</v>
      </c>
      <c r="G82" s="414">
        <v>3</v>
      </c>
      <c r="H82" s="414">
        <v>6</v>
      </c>
      <c r="I82" s="414">
        <v>6</v>
      </c>
      <c r="J82" s="32"/>
      <c r="K82" s="174"/>
    </row>
    <row r="83" spans="2:11" ht="15.75" thickTop="1" thickBot="1">
      <c r="B83" s="272" t="s">
        <v>405</v>
      </c>
      <c r="C83" s="414">
        <f t="shared" si="2"/>
        <v>457</v>
      </c>
      <c r="D83" s="414">
        <v>8</v>
      </c>
      <c r="E83" s="414">
        <v>380</v>
      </c>
      <c r="F83" s="414">
        <v>30</v>
      </c>
      <c r="G83" s="414">
        <v>30</v>
      </c>
      <c r="H83" s="414">
        <v>3</v>
      </c>
      <c r="I83" s="414">
        <v>6</v>
      </c>
      <c r="J83" s="32"/>
      <c r="K83" s="174"/>
    </row>
    <row r="84" spans="2:11" ht="15.75" thickTop="1" thickBot="1">
      <c r="B84" s="272" t="s">
        <v>406</v>
      </c>
      <c r="C84" s="414">
        <f t="shared" si="2"/>
        <v>117</v>
      </c>
      <c r="D84" s="414">
        <v>2</v>
      </c>
      <c r="E84" s="414">
        <v>106</v>
      </c>
      <c r="F84" s="414">
        <v>5</v>
      </c>
      <c r="G84" s="414">
        <v>2</v>
      </c>
      <c r="H84" s="414">
        <v>2</v>
      </c>
      <c r="I84" s="414">
        <v>0</v>
      </c>
      <c r="K84" s="32"/>
    </row>
    <row r="85" spans="2:11" ht="15.75" thickTop="1" thickBot="1">
      <c r="B85" s="272" t="s">
        <v>407</v>
      </c>
      <c r="C85" s="414">
        <f t="shared" si="2"/>
        <v>119</v>
      </c>
      <c r="D85" s="414">
        <v>7</v>
      </c>
      <c r="E85" s="414">
        <v>91</v>
      </c>
      <c r="F85" s="414">
        <v>7</v>
      </c>
      <c r="G85" s="414">
        <v>6</v>
      </c>
      <c r="H85" s="414">
        <v>7</v>
      </c>
      <c r="I85" s="414">
        <v>1</v>
      </c>
      <c r="J85" s="32"/>
      <c r="K85" s="32"/>
    </row>
    <row r="86" spans="2:11" ht="15.75" thickTop="1" thickBot="1">
      <c r="B86" s="272" t="s">
        <v>408</v>
      </c>
      <c r="C86" s="414">
        <f t="shared" si="2"/>
        <v>94</v>
      </c>
      <c r="D86" s="414">
        <v>2</v>
      </c>
      <c r="E86" s="414">
        <v>91</v>
      </c>
      <c r="F86" s="414">
        <v>1</v>
      </c>
      <c r="G86" s="414">
        <v>0</v>
      </c>
      <c r="H86" s="414">
        <v>0</v>
      </c>
      <c r="I86" s="414">
        <v>0</v>
      </c>
      <c r="K86" s="32"/>
    </row>
    <row r="87" spans="2:11" ht="15.75" thickTop="1" thickBot="1">
      <c r="B87" s="272" t="s">
        <v>409</v>
      </c>
      <c r="C87" s="414">
        <f t="shared" si="2"/>
        <v>266</v>
      </c>
      <c r="D87" s="414">
        <v>3</v>
      </c>
      <c r="E87" s="414">
        <v>257</v>
      </c>
      <c r="F87" s="414">
        <v>3</v>
      </c>
      <c r="G87" s="414">
        <v>1</v>
      </c>
      <c r="H87" s="414">
        <v>0</v>
      </c>
      <c r="I87" s="414">
        <v>2</v>
      </c>
      <c r="K87" s="32"/>
    </row>
    <row r="88" spans="2:11" ht="15.75" thickTop="1" thickBot="1">
      <c r="B88" s="273"/>
      <c r="C88" s="273"/>
      <c r="D88" s="249"/>
      <c r="E88" s="249"/>
      <c r="F88" s="249"/>
      <c r="G88" s="249"/>
      <c r="H88" s="249"/>
      <c r="I88" s="249"/>
      <c r="K88" s="32"/>
    </row>
    <row r="89" spans="2:11" ht="15.75" thickTop="1" thickBot="1">
      <c r="B89" s="469" t="s">
        <v>648</v>
      </c>
      <c r="C89" s="470"/>
      <c r="D89" s="470"/>
      <c r="E89" s="470"/>
      <c r="F89" s="470"/>
      <c r="G89" s="470"/>
      <c r="H89" s="470"/>
      <c r="I89" s="483"/>
    </row>
    <row r="90" spans="2:11" ht="15" thickTop="1">
      <c r="B90" s="33"/>
      <c r="C90" s="33"/>
      <c r="D90" s="33"/>
      <c r="E90" s="33"/>
      <c r="F90" s="33"/>
      <c r="G90" s="33"/>
      <c r="H90" s="33"/>
      <c r="I90" s="33"/>
    </row>
    <row r="91" spans="2:11" ht="12.75" customHeight="1">
      <c r="B91" s="33"/>
      <c r="C91" s="33"/>
      <c r="D91" s="33"/>
      <c r="E91" s="33"/>
      <c r="F91" s="33"/>
      <c r="G91" s="33"/>
      <c r="H91" s="33"/>
      <c r="I91" s="33"/>
    </row>
    <row r="92" spans="2:11" ht="12.75" customHeight="1"/>
    <row r="93" spans="2:11" ht="12.75" customHeight="1"/>
    <row r="95" spans="2:11">
      <c r="E95" s="34"/>
      <c r="F95" s="34"/>
      <c r="G95" s="34"/>
      <c r="H95" s="34"/>
      <c r="I95" s="34"/>
    </row>
    <row r="96" spans="2:11">
      <c r="E96" s="34"/>
      <c r="F96" s="34"/>
      <c r="G96" s="34"/>
      <c r="H96" s="34"/>
      <c r="I96" s="34"/>
    </row>
    <row r="97" spans="5:9">
      <c r="E97" s="34"/>
      <c r="F97" s="34"/>
      <c r="G97" s="34"/>
      <c r="H97" s="34"/>
      <c r="I97" s="34"/>
    </row>
    <row r="98" spans="5:9">
      <c r="E98" s="34"/>
      <c r="F98" s="34"/>
      <c r="G98" s="34"/>
      <c r="H98" s="34"/>
      <c r="I98" s="34"/>
    </row>
    <row r="99" spans="5:9">
      <c r="E99" s="34"/>
      <c r="F99" s="34"/>
      <c r="G99" s="34"/>
      <c r="H99" s="34"/>
      <c r="I99" s="34"/>
    </row>
    <row r="100" spans="5:9">
      <c r="E100" s="34"/>
      <c r="F100" s="34"/>
      <c r="G100" s="34"/>
      <c r="H100" s="34"/>
      <c r="I100" s="34"/>
    </row>
    <row r="101" spans="5:9">
      <c r="E101" s="34"/>
      <c r="F101" s="34"/>
      <c r="G101" s="34"/>
      <c r="H101" s="34"/>
      <c r="I101" s="34"/>
    </row>
    <row r="102" spans="5:9">
      <c r="E102" s="34"/>
      <c r="F102" s="34"/>
      <c r="G102" s="34"/>
      <c r="H102" s="34"/>
      <c r="I102" s="34"/>
    </row>
    <row r="103" spans="5:9">
      <c r="E103" s="34"/>
      <c r="F103" s="34"/>
      <c r="G103" s="34"/>
      <c r="H103" s="34"/>
      <c r="I103" s="34"/>
    </row>
    <row r="104" spans="5:9">
      <c r="E104" s="34"/>
      <c r="F104" s="34"/>
      <c r="G104" s="34"/>
      <c r="H104" s="34"/>
      <c r="I104" s="34"/>
    </row>
    <row r="105" spans="5:9">
      <c r="E105" s="34"/>
      <c r="F105" s="34"/>
      <c r="G105" s="34"/>
      <c r="H105" s="34"/>
      <c r="I105" s="34"/>
    </row>
    <row r="106" spans="5:9">
      <c r="E106" s="34"/>
      <c r="F106" s="34"/>
      <c r="G106" s="34"/>
      <c r="H106" s="34"/>
      <c r="I106" s="34"/>
    </row>
    <row r="107" spans="5:9">
      <c r="E107" s="34"/>
      <c r="F107" s="34"/>
      <c r="G107" s="34"/>
      <c r="H107" s="34"/>
      <c r="I107" s="34"/>
    </row>
    <row r="108" spans="5:9">
      <c r="E108" s="34"/>
      <c r="F108" s="34"/>
      <c r="G108" s="34"/>
      <c r="H108" s="34"/>
      <c r="I108" s="34"/>
    </row>
    <row r="109" spans="5:9">
      <c r="E109" s="34"/>
      <c r="F109" s="34"/>
      <c r="G109" s="34"/>
      <c r="H109" s="34"/>
      <c r="I109" s="34"/>
    </row>
    <row r="110" spans="5:9">
      <c r="E110" s="34"/>
      <c r="F110" s="34"/>
      <c r="G110" s="34"/>
      <c r="H110" s="34"/>
      <c r="I110" s="34"/>
    </row>
  </sheetData>
  <mergeCells count="5">
    <mergeCell ref="B2:I2"/>
    <mergeCell ref="B3:I3"/>
    <mergeCell ref="B89:I89"/>
    <mergeCell ref="B4:B5"/>
    <mergeCell ref="C4:I4"/>
  </mergeCells>
  <hyperlinks>
    <hyperlink ref="B3:I3" location="'Capitulo 2'!B19" display="Número de obras residenciales (viviendas y apartamentos), por grupos de área y según cantón. 2018." xr:uid="{00000000-0004-0000-0800-000000000000}"/>
  </hyperlinks>
  <printOptions horizontalCentered="1" verticalCentered="1"/>
  <pageMargins left="0" right="0.78740157480314965" top="0.98425196850393704" bottom="0.98425196850393704" header="0.59055118110236227" footer="0.59055118110236227"/>
  <pageSetup scale="75" orientation="landscape" horizontalDpi="300" verticalDpi="300" r:id="rId1"/>
  <headerFooter alignWithMargins="0"/>
  <ignoredErrors>
    <ignoredError sqref="C14" formula="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Developed by MetaClean (www.adarsus.com) -Trial License-</Application>
  <DocSecurity>0</DocSecurity>
  <ScaleCrop>false</ScaleCrop>
  <HeadingPairs>
    <vt:vector baseType="variant" size="4">
      <vt:variant>
        <vt:lpstr>Hojas de cálculo</vt:lpstr>
      </vt:variant>
      <vt:variant>
        <vt:i4>68</vt:i4>
      </vt:variant>
      <vt:variant>
        <vt:lpstr>Rangos con nombre</vt:lpstr>
      </vt:variant>
      <vt:variant>
        <vt:i4>20</vt:i4>
      </vt:variant>
    </vt:vector>
  </HeadingPairs>
  <TitlesOfParts>
    <vt:vector baseType="lpstr" size="88">
      <vt:lpstr>Compendio de Vivienda 2018</vt:lpstr>
      <vt:lpstr>Capitulo 1</vt:lpstr>
      <vt:lpstr>c1 </vt:lpstr>
      <vt:lpstr>c2</vt:lpstr>
      <vt:lpstr>c3</vt:lpstr>
      <vt:lpstr>c4</vt:lpstr>
      <vt:lpstr>c5</vt:lpstr>
      <vt:lpstr>Capitulo 2</vt:lpstr>
      <vt:lpstr>c6</vt:lpstr>
      <vt:lpstr>c7</vt:lpstr>
      <vt:lpstr>c8</vt:lpstr>
      <vt:lpstr>c9</vt:lpstr>
      <vt:lpstr>c10</vt:lpstr>
      <vt:lpstr>c11</vt:lpstr>
      <vt:lpstr>Capitulo 3</vt:lpstr>
      <vt:lpstr>c12 g1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c24</vt:lpstr>
      <vt:lpstr>c25</vt:lpstr>
      <vt:lpstr>c26</vt:lpstr>
      <vt:lpstr>c27</vt:lpstr>
      <vt:lpstr>c28</vt:lpstr>
      <vt:lpstr>c29</vt:lpstr>
      <vt:lpstr>c30</vt:lpstr>
      <vt:lpstr>Capitulo 4</vt:lpstr>
      <vt:lpstr>c31 g3</vt:lpstr>
      <vt:lpstr>c32</vt:lpstr>
      <vt:lpstr>c33</vt:lpstr>
      <vt:lpstr>c34</vt:lpstr>
      <vt:lpstr>c35</vt:lpstr>
      <vt:lpstr>c36</vt:lpstr>
      <vt:lpstr>c37</vt:lpstr>
      <vt:lpstr>c38</vt:lpstr>
      <vt:lpstr>c39</vt:lpstr>
      <vt:lpstr>c40</vt:lpstr>
      <vt:lpstr>c41</vt:lpstr>
      <vt:lpstr>c42</vt:lpstr>
      <vt:lpstr>c43</vt:lpstr>
      <vt:lpstr>c44</vt:lpstr>
      <vt:lpstr>c45</vt:lpstr>
      <vt:lpstr>c46</vt:lpstr>
      <vt:lpstr>c47</vt:lpstr>
      <vt:lpstr>c48</vt:lpstr>
      <vt:lpstr>c49</vt:lpstr>
      <vt:lpstr>c50</vt:lpstr>
      <vt:lpstr>c51</vt:lpstr>
      <vt:lpstr>c52</vt:lpstr>
      <vt:lpstr>c53</vt:lpstr>
      <vt:lpstr>c54</vt:lpstr>
      <vt:lpstr>Capitulo 5</vt:lpstr>
      <vt:lpstr>c55</vt:lpstr>
      <vt:lpstr>c56</vt:lpstr>
      <vt:lpstr>c57</vt:lpstr>
      <vt:lpstr>c58</vt:lpstr>
      <vt:lpstr>c59</vt:lpstr>
      <vt:lpstr>c60</vt:lpstr>
      <vt:lpstr>c61</vt:lpstr>
      <vt:lpstr>c62</vt:lpstr>
      <vt:lpstr>'c1 '!Área_de_impresión</vt:lpstr>
      <vt:lpstr>'c10'!Área_de_impresión</vt:lpstr>
      <vt:lpstr>'c11'!Área_de_impresión</vt:lpstr>
      <vt:lpstr>'c12 g1'!Área_de_impresión</vt:lpstr>
      <vt:lpstr>'c13'!Área_de_impresión</vt:lpstr>
      <vt:lpstr>'c16'!Área_de_impresión</vt:lpstr>
      <vt:lpstr>'c19'!Área_de_impresión</vt:lpstr>
      <vt:lpstr>'c2'!Área_de_impresión</vt:lpstr>
      <vt:lpstr>'c20'!Área_de_impresión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</vt:vector>
  </TitlesOfParts>
  <Company/>
  <LinksUpToDate>false</LinksUpToDate>
  <SharedDoc>false</SharedDoc>
  <HyperlinksChanged>false</HyperlinksChanged>
  <AppVersion>16.0300</AppVersion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