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7980" windowHeight="5055" activeTab="0"/>
  </bookViews>
  <sheets>
    <sheet name="Datos para todo el análisis" sheetId="1" r:id="rId1"/>
    <sheet name="Total Costa Rica" sheetId="2" r:id="rId2"/>
    <sheet name="Resumen regiones" sheetId="3" r:id="rId3"/>
    <sheet name="Región Central" sheetId="4" r:id="rId4"/>
    <sheet name="Región Chorotega" sheetId="5" r:id="rId5"/>
    <sheet name="Región Pacífico Central" sheetId="6" r:id="rId6"/>
    <sheet name="Región Brunca" sheetId="7" r:id="rId7"/>
    <sheet name="Región Huetar Caribe" sheetId="8" r:id="rId8"/>
    <sheet name="Región Huetar Norte" sheetId="9" r:id="rId9"/>
    <sheet name="Por provincia" sheetId="10" r:id="rId10"/>
    <sheet name="Por estrato" sheetId="11" r:id="rId11"/>
    <sheet name="Por Modalidad de presupuesto" sheetId="12" r:id="rId12"/>
    <sheet name="Por propósito" sheetId="13" r:id="rId13"/>
    <sheet name="10 cantones con más y menos BFV" sheetId="14" r:id="rId14"/>
    <sheet name="Déf Hab y BFV" sheetId="15" r:id="rId15"/>
  </sheets>
  <definedNames/>
  <calcPr fullCalcOnLoad="1"/>
</workbook>
</file>

<file path=xl/sharedStrings.xml><?xml version="1.0" encoding="utf-8"?>
<sst xmlns="http://schemas.openxmlformats.org/spreadsheetml/2006/main" count="330" uniqueCount="214">
  <si>
    <t>Cantón</t>
  </si>
  <si>
    <t xml:space="preserve">Número </t>
  </si>
  <si>
    <t xml:space="preserve">Liberia </t>
  </si>
  <si>
    <t xml:space="preserve">Nicoya </t>
  </si>
  <si>
    <t>Santa Cruz</t>
  </si>
  <si>
    <t xml:space="preserve">Bagaces </t>
  </si>
  <si>
    <t>Carrillo</t>
  </si>
  <si>
    <t>Cañas</t>
  </si>
  <si>
    <t>Abangares</t>
  </si>
  <si>
    <t>Tilarán</t>
  </si>
  <si>
    <t>Nandayure</t>
  </si>
  <si>
    <t>La Cruz</t>
  </si>
  <si>
    <t>Hojancha</t>
  </si>
  <si>
    <t>San José</t>
  </si>
  <si>
    <t>Escazú</t>
  </si>
  <si>
    <t>Desamparados</t>
  </si>
  <si>
    <t>Puriscal</t>
  </si>
  <si>
    <t>Tarrazú</t>
  </si>
  <si>
    <t>Aserrí</t>
  </si>
  <si>
    <t>Mora</t>
  </si>
  <si>
    <t>Goicoechea</t>
  </si>
  <si>
    <t>Santa Ana</t>
  </si>
  <si>
    <t>Alajuelita</t>
  </si>
  <si>
    <t>Vázquez de Coronado</t>
  </si>
  <si>
    <t>Acosta</t>
  </si>
  <si>
    <t>Tibás</t>
  </si>
  <si>
    <t>Moravia</t>
  </si>
  <si>
    <t>Montes de Oca</t>
  </si>
  <si>
    <t>Turrubares</t>
  </si>
  <si>
    <t>Dota</t>
  </si>
  <si>
    <t>Curridabat</t>
  </si>
  <si>
    <t>Pérez Zeledón</t>
  </si>
  <si>
    <t>León Cortés</t>
  </si>
  <si>
    <t>San Mateo</t>
  </si>
  <si>
    <t>Atenas</t>
  </si>
  <si>
    <t>Naranjo</t>
  </si>
  <si>
    <t>Palmares</t>
  </si>
  <si>
    <t>Poás</t>
  </si>
  <si>
    <t>Orotina</t>
  </si>
  <si>
    <t>San Carlos</t>
  </si>
  <si>
    <t>Alfaro Ruiz</t>
  </si>
  <si>
    <t>Valverde Vega</t>
  </si>
  <si>
    <t>Upala</t>
  </si>
  <si>
    <t>Los Chiles</t>
  </si>
  <si>
    <t>Guatuso</t>
  </si>
  <si>
    <t xml:space="preserve">Cartago </t>
  </si>
  <si>
    <t>Paraíso</t>
  </si>
  <si>
    <t>La Unión</t>
  </si>
  <si>
    <t>Jiménez</t>
  </si>
  <si>
    <t>Turrialba</t>
  </si>
  <si>
    <t>Alvarado</t>
  </si>
  <si>
    <t>Oreamuno</t>
  </si>
  <si>
    <t>El Guarco</t>
  </si>
  <si>
    <t>Heredia</t>
  </si>
  <si>
    <t>Barva</t>
  </si>
  <si>
    <t>Santo Domingo</t>
  </si>
  <si>
    <t>Santa Bárbara</t>
  </si>
  <si>
    <t>San Rafael</t>
  </si>
  <si>
    <t>San Isidro</t>
  </si>
  <si>
    <t>Belén</t>
  </si>
  <si>
    <t>Flores</t>
  </si>
  <si>
    <t>San Pablo</t>
  </si>
  <si>
    <t>Puntarenas</t>
  </si>
  <si>
    <t>Esparza</t>
  </si>
  <si>
    <t>Buenos Aires</t>
  </si>
  <si>
    <t>Montes de Oro</t>
  </si>
  <si>
    <t>Osa</t>
  </si>
  <si>
    <t>Aguirre</t>
  </si>
  <si>
    <t>Golfito</t>
  </si>
  <si>
    <t>Coto Brus</t>
  </si>
  <si>
    <t>Parrita</t>
  </si>
  <si>
    <t>Corredores</t>
  </si>
  <si>
    <t>Garabito</t>
  </si>
  <si>
    <t>Limón</t>
  </si>
  <si>
    <t>Pococí</t>
  </si>
  <si>
    <t>Siquirres</t>
  </si>
  <si>
    <t>Talamanca</t>
  </si>
  <si>
    <t>Matina</t>
  </si>
  <si>
    <t>Guácimo</t>
  </si>
  <si>
    <t>Costa Rica</t>
  </si>
  <si>
    <t xml:space="preserve">Total </t>
  </si>
  <si>
    <t>Alajuela (Sarapiquí)</t>
  </si>
  <si>
    <t>Grecia (Río Cuarto)</t>
  </si>
  <si>
    <t>San Ramón (Peñas Blancas)</t>
  </si>
  <si>
    <t>Total</t>
  </si>
  <si>
    <t>Propósito</t>
  </si>
  <si>
    <t>RAM</t>
  </si>
  <si>
    <t>Compra lote</t>
  </si>
  <si>
    <t>Compra vivienda existente</t>
  </si>
  <si>
    <t>Construcción lote propio</t>
  </si>
  <si>
    <t>Lote y construcción</t>
  </si>
  <si>
    <t>Número de casos</t>
  </si>
  <si>
    <t>Monto nominal</t>
  </si>
  <si>
    <t>Modalidad de presupuesto</t>
  </si>
  <si>
    <t>Adulto mayor</t>
  </si>
  <si>
    <t>Ahorro Bono Crédito</t>
  </si>
  <si>
    <t>Erradicación Tugurios</t>
  </si>
  <si>
    <t>Discapacitado</t>
  </si>
  <si>
    <t>Regular</t>
  </si>
  <si>
    <t>Región</t>
  </si>
  <si>
    <t xml:space="preserve">Alajuela </t>
  </si>
  <si>
    <t>Brunca</t>
  </si>
  <si>
    <t>Cartago</t>
  </si>
  <si>
    <t>Chorotega</t>
  </si>
  <si>
    <t>Huetar Norte</t>
  </si>
  <si>
    <t xml:space="preserve">Central </t>
  </si>
  <si>
    <t>Provincia</t>
  </si>
  <si>
    <t>Guanacaste</t>
  </si>
  <si>
    <t>Total país</t>
  </si>
  <si>
    <t>Cantones con mayor número de BFV</t>
  </si>
  <si>
    <t>Número de BFV pagados</t>
  </si>
  <si>
    <t>Cantones con menor número de BFV</t>
  </si>
  <si>
    <t xml:space="preserve">Garabito </t>
  </si>
  <si>
    <t>San Ramón (excepto Peñas Blancas)</t>
  </si>
  <si>
    <t>Alajuela (excepto Sarapiquí)</t>
  </si>
  <si>
    <t>Grecia (excepto Río Cuarto)</t>
  </si>
  <si>
    <t xml:space="preserve">Período del análisis: </t>
  </si>
  <si>
    <t xml:space="preserve">BFV: </t>
  </si>
  <si>
    <t>Monto nominal:</t>
  </si>
  <si>
    <t>Monto de inversión en bonos, en millones de colones corrientes.</t>
  </si>
  <si>
    <t xml:space="preserve">Monto real: </t>
  </si>
  <si>
    <t>Monto de inversión en bonos, en millones de colones constantes (base 1995=100).</t>
  </si>
  <si>
    <t>Bono Familiar de Vivienda.</t>
  </si>
  <si>
    <t xml:space="preserve">Monto nominal </t>
  </si>
  <si>
    <t>Unidad de Planificación Institucional</t>
  </si>
  <si>
    <t xml:space="preserve">IDS: </t>
  </si>
  <si>
    <t>Estrato</t>
  </si>
  <si>
    <t>Monto nominal (en millones de colones)</t>
  </si>
  <si>
    <t>Monto real (en millones de colones de 1995)</t>
  </si>
  <si>
    <t>Pacífico Central</t>
  </si>
  <si>
    <t xml:space="preserve">Monto nominal                (en millones de colones)         </t>
  </si>
  <si>
    <t xml:space="preserve">Monto real                      (en millones de colones de 1995)           </t>
  </si>
  <si>
    <t xml:space="preserve">Monto </t>
  </si>
  <si>
    <t>Monto</t>
  </si>
  <si>
    <t xml:space="preserve"> </t>
  </si>
  <si>
    <t>Monto promedio del BFV</t>
  </si>
  <si>
    <t xml:space="preserve">Extrema necesidad e Indígenas </t>
  </si>
  <si>
    <t>Año</t>
  </si>
  <si>
    <t xml:space="preserve">Número de BFV </t>
  </si>
  <si>
    <t>San Ramón</t>
  </si>
  <si>
    <t>RAM:</t>
  </si>
  <si>
    <t>Reparación, Ampliación y Mejoras.</t>
  </si>
  <si>
    <t>Bonos pagados por la Administración Chinchilla Miranda</t>
  </si>
  <si>
    <t>Monto real                (1995=100)</t>
  </si>
  <si>
    <t>Peso relativo del BFV con respecto al total país</t>
  </si>
  <si>
    <t>–</t>
  </si>
  <si>
    <t xml:space="preserve">BANHVI: </t>
  </si>
  <si>
    <t>Banco Hipotecario de la Vivienda.</t>
  </si>
  <si>
    <t>MIVAH:</t>
  </si>
  <si>
    <t>Ministerio de Vivienda y Asentamientos Humanos.</t>
  </si>
  <si>
    <t>MIDEPLAN:</t>
  </si>
  <si>
    <t>Ministerio de Planificación Nacional y Política Económica.</t>
  </si>
  <si>
    <t xml:space="preserve">DH: </t>
  </si>
  <si>
    <t>Déficit habitacional.</t>
  </si>
  <si>
    <t>Fuente: Elaboración MIVAH con datos de BANHVI.</t>
  </si>
  <si>
    <t>Peso relativo del DH con respecto al total país</t>
  </si>
  <si>
    <t>DH 2011</t>
  </si>
  <si>
    <t>INEC:</t>
  </si>
  <si>
    <t xml:space="preserve">Instituto Nacional de Estadística y Censos. </t>
  </si>
  <si>
    <t xml:space="preserve">BCCR: </t>
  </si>
  <si>
    <t>Banco Central de Costa Rica.</t>
  </si>
  <si>
    <t>Huetar Caribe</t>
  </si>
  <si>
    <t>Sarapiquí  (excepto Horquetas)</t>
  </si>
  <si>
    <t>Sarapiquí (Horquetas)</t>
  </si>
  <si>
    <t>Índice de Desarrollo Social 2013.</t>
  </si>
  <si>
    <t>IDS 2013 (promedio)</t>
  </si>
  <si>
    <t>IDS 2013</t>
  </si>
  <si>
    <t>Fuente: Elaboración MIVAH con datos de BANHVI, INEC (Censo 2011) y MIDEPLAN (IDS 2013).</t>
  </si>
  <si>
    <t xml:space="preserve">San Rafael </t>
  </si>
  <si>
    <t>Tasa de desempleo 2013</t>
  </si>
  <si>
    <t>Peso relativo del DH 2013</t>
  </si>
  <si>
    <t>Fuente: Elaboración MIVAH con datos de BANHVI, INEC (ENAHO 2013) y MIDEPLAN.</t>
  </si>
  <si>
    <t>Del 8 de mayo de 2010 al 7 de mayo de 2014.</t>
  </si>
  <si>
    <t xml:space="preserve">El monto nominal de la inversión en bonos equivale a 5,30 veces el monto real. </t>
  </si>
  <si>
    <t xml:space="preserve">Costa Rica: Número y monto de BFV pagados durante la Administración Chinchilla Miranda, del 8-5-2010 al 7-5-2014                                                                                                                                                       </t>
  </si>
  <si>
    <t>Costa Rica: Número y monto de BFV pagados durante la Administración Chinchilla Miranda, del 8-5-2010 al 7-5-2014, tasa de desempleo 2013,                                            DH 2013 e IDS 2013, según región.</t>
  </si>
  <si>
    <t>Región Central: Número y monto de BFV pagados durante la Administración Chinchilla Miranda, del 8-5-2010 al 7-5-2014.</t>
  </si>
  <si>
    <t>Región Chorotega: Número y Monto de BFV pagados durante la Administración Chinchilla Miranda,  del 8-5-2010 al 7-5-2014.</t>
  </si>
  <si>
    <t xml:space="preserve">Región Pacífico Central: Número y monto de BFV pagados durante la Administración Chinchilla Miranda, del 8-5-2010 al 7-5-2014.                                                                                </t>
  </si>
  <si>
    <t xml:space="preserve">Región Brunca: Número y monto de BFV pagados durante la Administración Chinchilla Miranda, del 8-5-2010 al 7-5-2014.                                                                                </t>
  </si>
  <si>
    <t xml:space="preserve">Región Huetar Caribe: Número y monto de BFV pagados durante la Administración Chinchilla Miranda, del 8-5-2010 al 7-5-2014.                                                                                </t>
  </si>
  <si>
    <t xml:space="preserve">Región Huetar Norte: Número y monto de BFV pagados durante la Administración Chinchilla Miranda, del 8-5-2010 al 7-5-2014.                                                                                                                                                        </t>
  </si>
  <si>
    <t>Bonos pagados por provincia durante la Administración Chinchilla Miranda del 8-5-2010 al 7-5-2014.</t>
  </si>
  <si>
    <t>Bonos pagados por provincia durante la Administración Chinchilla Miranda del 8-5-2010 al 7-5-2014 (Peso relativo).</t>
  </si>
  <si>
    <t xml:space="preserve">Bonos pagados por estrato durante la Administración Chinchilla Miranda del 8-5-2010 al 7-5-2014. </t>
  </si>
  <si>
    <t>Bonos pagados por estrato durante la Administración Chinchilla Miranda del 8-5-2010 al 7-5-2014 (Peso relativo).</t>
  </si>
  <si>
    <t>Bonos pagados por modalidad de presupuesto durante la Administración Chinchilla Miranda del 8-5-2010 al 7-5-2014.</t>
  </si>
  <si>
    <t>Bonos pagados por modalidad de presupuesto durante la Administración Chinchilla Miranda del 8-5-2010 al 7-5-2014. (Peso relativo).</t>
  </si>
  <si>
    <t xml:space="preserve">Bonos pagados por propósito durante la Administración Chinchilla Miranda del 8-5-2010 al 7-5-2014. </t>
  </si>
  <si>
    <t>Bonos pagados por propósito durante la Administración Chinchilla Miranda del 8-5-2010 al 7-5-2014 (Peso relativo).</t>
  </si>
  <si>
    <t>Administración Chinchilla Miranda: Los 10 cantones con mayor y con menor número de BFV pagados durante el período 8-5-2010 al 7-5-2014.</t>
  </si>
  <si>
    <t xml:space="preserve">La Región Central captó el 34,5% de los bonos otorgados, seguida por la Huetar Caribe, que se benefició del 21,8%. Esta última cuenta con un IDS inferior a 50, afronta el 16,1% del DH del país y tiene una tasa de desempleo del 10,8; lo cual denota la importante magnitud de sus problemas socioeconómicos. Por su parte, la Región Pacífico Central fue la menos favorecida, con el 5,8% de los subsidios; a pesar de tener el IDS inferior a 60, el 7,1% del DH y una de las mayores tasas de desempleo, a nivel regional. No obstante, valga destacar que la Región Pacífico Central fue la que recibió el mayor monto promedio del bono, es decir, que a cada familia beneficiada se le otorgó ¢1.202.354,1 por encima del promedio nacional (esta situación podría obedecer, entre otros motivos, a una significativa presencia de casos extraordinarios, que devengaron bono y medio). En contraste, los beneficiarios de la Región Brunca captaron, en promedio, alrededor de ¢677.639,6 menos que los subsidiados en el resto del país. </t>
  </si>
  <si>
    <t xml:space="preserve">El 28,3% de los BFV fue otorgado a Turrialba, San Ramón y Cartago. </t>
  </si>
  <si>
    <t xml:space="preserve">El 52,0% de los bonos benefició a Nicoya, Santa Cruz y Liberia. </t>
  </si>
  <si>
    <t>El 52,8% de los bonos fue canalizado a Puntarenas.</t>
  </si>
  <si>
    <t>Pérez Zeledón y Buenos Aires recibieron el 60,6% de los bonos pagados.</t>
  </si>
  <si>
    <t>El 40,5% de los bonos fue canalizado a Pococí.</t>
  </si>
  <si>
    <t>El 66,1% de los bonos fue destinado a San Carlos y Upala.</t>
  </si>
  <si>
    <t xml:space="preserve">Con respecto a las provincias más y menos favorecidas por la Administración Chinchilla Miranda, cabe destacar que Limón y Alajuela fueron las que más inversión captaron en materia de BFV, con un 21,02% y un 19,96%, respectivamente; en tanto que Heredia fue la menos beneficiada con dicho subsidio (un 4,97% del total), lo cual podría deberse a que muchos de sus cantones se hallan entre los más desarrollados del país. Además de Alajuela y Limón, se vieron muy favorecidas las provincias de Puntarenas y Cartago, con alrededor del 15% de los fondos, cada una. </t>
  </si>
  <si>
    <t>Durante la referida Administración, el 97,77% de los fondos fue destinado a los estratos 1 y 2,  por tratarse de las familias con menores ingresos (clase baja); lo cual evidencia un buen grado de focalización, al menos, en términos de estratos socioeconómicos. Aunque esto no implica, necesariamente, la existencia de una adecuada priorización técnica y geográfica, en cuanto a la consideración de otras variables, también, relevantes.</t>
  </si>
  <si>
    <t>En relación con las modalidades de "Erradicación de tugurios", "Extrema necesidad" e "Indígenas", se destinó un 54,37% del monto total invertido. Además, por estar contempladas en el Artículo 59 de la Ley del SFNV (subsidio a las clases sociales más pobres y vulnerables del país), se podría adicionar a estas dos modalidades, la de "Adulto Mayor" y la de "Discapacitado", llegando a un porcentaje total de inversión del 61,44%. En este sentido, valga acotar que la erradicación de precarios y tugurios enfrenta una serie de dificultades financieras, administrativas (burocráticas), legales (permisos), técnicas y socioculturales, que atrasan o, incluso, imposibilitan la realización de este tipo de proyectos. 
Por otra parte, el 37,40% del desembolso en bonos se dirigió a la modalidad "Regular" (en algunas ocasiones, éste decrece en favor de otras modalidades más prioritarias, como la erradicación de tugurios y la extrema necesidad). También, llama la atención el hecho de que la modalidad "Ahorro, Bono, Crédito" apenas abarcó el 1,16% de los fondos otorgados; lo cual podría deberse, en algún grado, a la poca capacidad de ahorro que poseen los estratos bajos y medios, además de la alta propensión marginal al consumo que, históricamente, ha caracterizado a los hogares costarricenses.</t>
  </si>
  <si>
    <t xml:space="preserve">Con respecto a la inversión realizada por la Administración Chinchilla, cabe destacar que el 56,01% de los fondos fue destinado a la Construcción en lote propio, seguido por el propósito de Compra de vivienda existente (con un 20,90%); lo cual podría obedecer, en alguna medida, a los altos precios de los terrenos, sobre todo, en la zona metropolitana urbana. 
Por otra parte, se recomienda la intensificación en el otorgamiento de bonos al propósito de RAM (sólo obtuvo un 7,17% de los bonos y un 5,12% de los recursos), ya que éste coadyuva a reducir el componente más alto del déficit habitacional, que es el cualitativo (hacinamiento y mal estado físico de la vivienda). </t>
  </si>
  <si>
    <t>Los 10 cantones más favorecidos con el BFV recibieron 79 veces la cantidad de bonos que captaron los 10 cantones menos beneficiados con dicho subsidio. Así, el 43,9% de los BFV fue destinado a diez cantones, que comprenden el 24,7% del DH del país y tienen un IDS promedio de 50,6. Al respecto, cabe destacar la prioridad que se le dio a cantones como San Carlos, Pococí, Puntarenas y Pérez Zeledón, que registran el 15% del DH nacional; así como los casos de Talamanca y Buenos Aires, que cuentan con índices de desarrollo social muy bajos (inferiores a 40).  
En relación con los cantones menos beneficiados con el BFV, valga destacar que éstos recibieron el 0,6% del total de bonos pagados. Lo anterior obedece, entre otras razones, a que se trata de cantones con índices de desarrollo social, relativamente, altos (todos superiores a 70, excepto Garabito); además de que cada uno de ellos tiene un peso del déficit habitacional, con respecto al total país, inferior al 1% (la suma de los 10 cantones es del 5,5% del faltante nacional). Un ejemplo de lo anterior es que el 60% de dichos cantones (pertenecientes a la provincia de Heredia) enfrenta el 2,35% del déficit habitacional, y promedia un IDS de 78; por lo que sólo recibió el 0,36% de los subsidios otorgados. 
                                                                                                                                                                                                                                                                                                                                                                     Lo anterior evidencia un importante nivel de focalización y priorización de los recursos, ya que parece haberse canalizado la mayoría de los bonos a los cantones que tienen más problemas socioeconómicos. De ahí la necesidad de continuar incorporando variables significativas que, realmente, expliquen el comportamiento de fenómenos tan complejos como la pobreza y el déficit habitacional, en el momento de identificar, analizar y priorizar las necesidades residenciales, a nivel geográfico; con el fin de destinar los subsidios, de una manera cada vez más técnica y objetiva.</t>
  </si>
  <si>
    <t>Déficit Habitacional               total</t>
  </si>
  <si>
    <t>Déficit Habitacional Cualitativo</t>
  </si>
  <si>
    <t>Déficit Habitacional Cuantitativo</t>
  </si>
  <si>
    <t>BFV para propósito RAM</t>
  </si>
  <si>
    <t>BFV para otros propósitos *</t>
  </si>
  <si>
    <t>Cobertura de déficit cualitativo con BFV RAM</t>
  </si>
  <si>
    <t>Cobertura de déficit cuantitativo con otros BFV</t>
  </si>
  <si>
    <t xml:space="preserve">* Incluye los propósitos de: Lote y Construcción, Construcción en lote propio, Compra de vivienda existente y Compra de lote.  </t>
  </si>
  <si>
    <t>Fuente: INEC y BANHVI.</t>
  </si>
  <si>
    <t>Atención del déficit habitacional, cuantitativo y cualitativo, con Bono Familiar de Vivienda (BFV). 2000-2013.</t>
  </si>
  <si>
    <t xml:space="preserve">Al observar los porcentajes de cobertura del déficit habitacional, por medio del Bono Familiar de Vivienda (BFV), entre 2000 y 2013, se concluye que el aporte de este instrumento subsidiario ha sido aceptable, en cuanto a la atención del componente cuantitativo del déficit, aunque ha ido decreciendo con el paso de los años. Caso contrario ocurre con la cobertura del componente cualitativo, ya que no ha llegado ni al 1%, a pesar de que es el más significativo del déficit habitacional. No obstante, se debe tener presente el hecho de que el déficit habitacional tiene un crecimiento vegetativo anual, en ambos componentes; y que la mayor parte del déficit es atendido vía crédito del Sistema Financiero Nacional.    </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</si>
</sst>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
    <numFmt numFmtId="168" formatCode="0.0000000"/>
    <numFmt numFmtId="169" formatCode="0.000000"/>
    <numFmt numFmtId="170" formatCode="0.00000"/>
    <numFmt numFmtId="171" formatCode="0.0"/>
    <numFmt numFmtId="172" formatCode="#,##0.0\ _€"/>
    <numFmt numFmtId="173" formatCode="0.0%"/>
    <numFmt numFmtId="174" formatCode="#,##0______"/>
    <numFmt numFmtId="175" formatCode="#,##0;[Red]#,##0"/>
    <numFmt numFmtId="176" formatCode="#,##0.0;[Red]#,##0.0"/>
    <numFmt numFmtId="177" formatCode="#,##0.00;[Red]#,##0.00"/>
    <numFmt numFmtId="178" formatCode="#,##0.000;[Red]#,##0.000"/>
    <numFmt numFmtId="179" formatCode="#,##0.0000;[Red]#,##0.0000"/>
    <numFmt numFmtId="180" formatCode="0.00000000"/>
    <numFmt numFmtId="181" formatCode="#,##0.0000"/>
    <numFmt numFmtId="182" formatCode="#,##0.00000"/>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_);_(* \(#,##0\);_(* &quot;-&quot;??_);_(@_)"/>
    <numFmt numFmtId="188" formatCode="0.0000000000"/>
    <numFmt numFmtId="189" formatCode="0.00000000000"/>
    <numFmt numFmtId="190" formatCode="0.000000000000"/>
    <numFmt numFmtId="191" formatCode="0.000000000"/>
    <numFmt numFmtId="192" formatCode="#,##0.0______"/>
    <numFmt numFmtId="193" formatCode="0.000%"/>
    <numFmt numFmtId="194" formatCode="mmm\-yyyy"/>
  </numFmts>
  <fonts count="73">
    <font>
      <sz val="10"/>
      <name val="Arial"/>
      <family val="0"/>
    </font>
    <font>
      <b/>
      <sz val="10"/>
      <name val="Tahoma"/>
      <family val="2"/>
    </font>
    <font>
      <sz val="10"/>
      <name val="Tahoma"/>
      <family val="2"/>
    </font>
    <font>
      <b/>
      <sz val="9"/>
      <name val="Tahoma"/>
      <family val="2"/>
    </font>
    <font>
      <sz val="8"/>
      <name val="Tahoma"/>
      <family val="2"/>
    </font>
    <font>
      <sz val="9"/>
      <name val="Tahoma"/>
      <family val="2"/>
    </font>
    <font>
      <sz val="8"/>
      <name val="Arial"/>
      <family val="2"/>
    </font>
    <font>
      <sz val="6"/>
      <name val="Tahoma"/>
      <family val="2"/>
    </font>
    <font>
      <u val="single"/>
      <sz val="10"/>
      <color indexed="12"/>
      <name val="Arial"/>
      <family val="2"/>
    </font>
    <font>
      <u val="single"/>
      <sz val="10"/>
      <color indexed="36"/>
      <name val="Arial"/>
      <family val="2"/>
    </font>
    <font>
      <b/>
      <sz val="9"/>
      <name val="Cambria"/>
      <family val="1"/>
    </font>
    <font>
      <b/>
      <sz val="10"/>
      <name val="Cambria"/>
      <family val="1"/>
    </font>
    <font>
      <sz val="10"/>
      <name val="Cambria"/>
      <family val="1"/>
    </font>
    <font>
      <sz val="8"/>
      <name val="Cambria"/>
      <family val="1"/>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color indexed="46"/>
      <name val="Cambria"/>
      <family val="1"/>
    </font>
    <font>
      <sz val="10"/>
      <color indexed="24"/>
      <name val="Tahoma"/>
      <family val="2"/>
    </font>
    <font>
      <b/>
      <sz val="12"/>
      <name val="Cambria"/>
      <family val="1"/>
    </font>
    <font>
      <sz val="8"/>
      <color indexed="8"/>
      <name val="Tahoma"/>
      <family val="2"/>
    </font>
    <font>
      <b/>
      <sz val="10"/>
      <color indexed="8"/>
      <name val="Cambria"/>
      <family val="1"/>
    </font>
    <font>
      <sz val="8"/>
      <color indexed="8"/>
      <name val="Cambria"/>
      <family val="1"/>
    </font>
    <font>
      <sz val="10"/>
      <color indexed="8"/>
      <name val="Cambria"/>
      <family val="1"/>
    </font>
    <font>
      <sz val="12"/>
      <color indexed="8"/>
      <name val="Arial"/>
      <family val="2"/>
    </font>
    <font>
      <sz val="7"/>
      <color indexed="8"/>
      <name val="Cambria"/>
      <family val="1"/>
    </font>
    <font>
      <b/>
      <sz val="8"/>
      <color indexed="46"/>
      <name val="Cambria"/>
      <family val="1"/>
    </font>
    <font>
      <b/>
      <sz val="8"/>
      <color indexed="40"/>
      <name val="Cambria"/>
      <family val="1"/>
    </font>
    <font>
      <b/>
      <sz val="8"/>
      <color indexed="8"/>
      <name val="Cambria"/>
      <family val="1"/>
    </font>
    <font>
      <sz val="10"/>
      <color indexed="8"/>
      <name val="Arial"/>
      <family val="2"/>
    </font>
    <font>
      <sz val="6"/>
      <color indexed="8"/>
      <name val="Cambria"/>
      <family val="1"/>
    </font>
    <font>
      <sz val="7.35"/>
      <color indexed="8"/>
      <name val="Cambria"/>
      <family val="1"/>
    </font>
    <font>
      <b/>
      <sz val="9"/>
      <color indexed="8"/>
      <name val="Arial"/>
      <family val="2"/>
    </font>
    <font>
      <sz val="10"/>
      <color indexed="8"/>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rgb="FFCC99FF"/>
      <name val="Cambria"/>
      <family val="1"/>
    </font>
    <font>
      <sz val="10"/>
      <color rgb="FF6666FF"/>
      <name val="Tahoma"/>
      <family val="2"/>
    </font>
    <font>
      <sz val="8"/>
      <color theme="1"/>
      <name val="Tahoma"/>
      <family val="2"/>
    </font>
    <font>
      <b/>
      <sz val="10"/>
      <color theme="1"/>
      <name val="Cambria"/>
      <family val="1"/>
    </font>
    <font>
      <sz val="8"/>
      <color theme="1"/>
      <name val="Cambria"/>
      <family val="1"/>
    </font>
    <font>
      <sz val="10"/>
      <color theme="1"/>
      <name val="Cambria"/>
      <family val="1"/>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gradientFill degree="90">
        <stop position="0">
          <color theme="0"/>
        </stop>
        <stop position="0.5">
          <color rgb="FFFF99FF"/>
        </stop>
        <stop position="1">
          <color theme="0"/>
        </stop>
      </gradientFill>
    </fill>
    <fill>
      <gradientFill degree="90">
        <stop position="0">
          <color theme="0"/>
        </stop>
        <stop position="0.5">
          <color rgb="FFFF99FF"/>
        </stop>
        <stop position="1">
          <color theme="0"/>
        </stop>
      </gradientFill>
    </fill>
    <fill>
      <gradientFill degree="90">
        <stop position="0">
          <color theme="0"/>
        </stop>
        <stop position="0.5">
          <color rgb="FFFF99FF"/>
        </stop>
        <stop position="1">
          <color theme="0"/>
        </stop>
      </gradientFill>
    </fill>
    <fill>
      <gradientFill degree="90">
        <stop position="0">
          <color theme="0"/>
        </stop>
        <stop position="0.5">
          <color rgb="FFFF99FF"/>
        </stop>
        <stop position="1">
          <color theme="0"/>
        </stop>
      </gradientFill>
    </fill>
    <fill>
      <gradientFill degree="90">
        <stop position="0">
          <color theme="0"/>
        </stop>
        <stop position="0.5">
          <color rgb="FF99CCFF"/>
        </stop>
        <stop position="1">
          <color theme="0"/>
        </stop>
      </gradientFill>
    </fill>
    <fill>
      <gradientFill degree="90">
        <stop position="0">
          <color theme="0"/>
        </stop>
        <stop position="0.5">
          <color rgb="FF99CCFF"/>
        </stop>
        <stop position="1">
          <color theme="0"/>
        </stop>
      </gradientFill>
    </fill>
    <fill>
      <gradientFill degree="90">
        <stop position="0">
          <color theme="0"/>
        </stop>
        <stop position="0.5">
          <color rgb="FF99CCFF"/>
        </stop>
        <stop position="1">
          <color theme="0"/>
        </stop>
      </gradientFill>
    </fill>
    <fill>
      <gradientFill degree="90">
        <stop position="0">
          <color theme="0"/>
        </stop>
        <stop position="0.5">
          <color rgb="FF99CCFF"/>
        </stop>
        <stop position="1">
          <color theme="0"/>
        </stop>
      </gradientFill>
    </fill>
    <fill>
      <gradientFill degree="90">
        <stop position="0">
          <color theme="0"/>
        </stop>
        <stop position="0.5">
          <color rgb="FF99CCFF"/>
        </stop>
        <stop position="1">
          <color theme="0"/>
        </stop>
      </gradientFill>
    </fill>
    <fill>
      <gradientFill degree="90">
        <stop position="0">
          <color theme="0"/>
        </stop>
        <stop position="0.5">
          <color rgb="FF99CCFF"/>
        </stop>
        <stop position="1">
          <color theme="0"/>
        </stop>
      </gradientFill>
    </fill>
    <fill>
      <gradientFill degree="90">
        <stop position="0">
          <color theme="0"/>
        </stop>
        <stop position="0.5">
          <color rgb="FFFF99FF"/>
        </stop>
        <stop position="1">
          <color theme="0"/>
        </stop>
      </gradientFill>
    </fill>
    <fill>
      <gradientFill degree="90">
        <stop position="0">
          <color theme="0"/>
        </stop>
        <stop position="0.5">
          <color rgb="FFFF99FF"/>
        </stop>
        <stop position="1">
          <color theme="0"/>
        </stop>
      </gradientFill>
    </fill>
    <fill>
      <gradientFill degree="90">
        <stop position="0">
          <color theme="0"/>
        </stop>
        <stop position="0.5">
          <color rgb="FFFF99FF"/>
        </stop>
        <stop position="1">
          <color theme="0"/>
        </stop>
      </gradientFill>
    </fill>
    <fill>
      <gradientFill degree="90">
        <stop position="0">
          <color theme="0"/>
        </stop>
        <stop position="0.5">
          <color rgb="FFFF99FF"/>
        </stop>
        <stop position="1">
          <color theme="0"/>
        </stop>
      </gradientFill>
    </fill>
    <fill>
      <gradientFill degree="90">
        <stop position="0">
          <color theme="0"/>
        </stop>
        <stop position="0.5">
          <color rgb="FFCCCCFF"/>
        </stop>
        <stop position="1">
          <color theme="0"/>
        </stop>
      </gradientFill>
    </fill>
    <fill>
      <gradientFill degree="90">
        <stop position="0">
          <color theme="0"/>
        </stop>
        <stop position="0.5">
          <color rgb="FFCCCCFF"/>
        </stop>
        <stop position="1">
          <color theme="0"/>
        </stop>
      </gradientFill>
    </fill>
    <fill>
      <gradientFill degree="90">
        <stop position="0">
          <color theme="0"/>
        </stop>
        <stop position="0.5">
          <color rgb="FFCCCCFF"/>
        </stop>
        <stop position="1">
          <color theme="0"/>
        </stop>
      </gradientFill>
    </fill>
    <fill>
      <gradientFill degree="90">
        <stop position="0">
          <color theme="0"/>
        </stop>
        <stop position="0.5">
          <color rgb="FFCCCCFF"/>
        </stop>
        <stop position="1">
          <color theme="0"/>
        </stop>
      </gradientFill>
    </fill>
    <fill>
      <gradientFill degree="90">
        <stop position="0">
          <color theme="0"/>
        </stop>
        <stop position="0.5">
          <color rgb="FFCCCCFF"/>
        </stop>
        <stop position="1">
          <color theme="0"/>
        </stop>
      </gradientFill>
    </fill>
    <fill>
      <gradientFill degree="90">
        <stop position="0">
          <color theme="0"/>
        </stop>
        <stop position="0.5">
          <color rgb="FFCCCCFF"/>
        </stop>
        <stop position="1">
          <color theme="0"/>
        </stop>
      </gradient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0" borderId="0">
      <alignment/>
      <protection/>
    </xf>
    <xf numFmtId="0" fontId="50" fillId="0" borderId="0">
      <alignment/>
      <protection/>
    </xf>
    <xf numFmtId="0" fontId="0" fillId="32" borderId="4" applyNumberFormat="0" applyFont="0" applyAlignment="0" applyProtection="0"/>
    <xf numFmtId="9" fontId="0" fillId="0" borderId="0" applyFont="0" applyFill="0" applyBorder="0" applyAlignment="0" applyProtection="0"/>
    <xf numFmtId="9" fontId="5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252">
    <xf numFmtId="0" fontId="0" fillId="0" borderId="0" xfId="0" applyAlignment="1">
      <alignment/>
    </xf>
    <xf numFmtId="0" fontId="4" fillId="0" borderId="0" xfId="0" applyFont="1" applyAlignment="1">
      <alignment horizontal="center"/>
    </xf>
    <xf numFmtId="0" fontId="5" fillId="0" borderId="0" xfId="0" applyFont="1" applyAlignment="1">
      <alignment/>
    </xf>
    <xf numFmtId="2" fontId="0" fillId="0" borderId="0" xfId="0" applyNumberFormat="1" applyAlignment="1">
      <alignment/>
    </xf>
    <xf numFmtId="4" fontId="0" fillId="0" borderId="0" xfId="0" applyNumberFormat="1" applyAlignment="1">
      <alignment/>
    </xf>
    <xf numFmtId="0" fontId="2" fillId="0" borderId="0" xfId="0" applyFont="1" applyAlignment="1">
      <alignment/>
    </xf>
    <xf numFmtId="0" fontId="2" fillId="0" borderId="0" xfId="53" applyFont="1">
      <alignment/>
      <protection/>
    </xf>
    <xf numFmtId="171" fontId="2" fillId="0" borderId="0" xfId="53" applyNumberFormat="1" applyFont="1">
      <alignment/>
      <protection/>
    </xf>
    <xf numFmtId="0" fontId="2" fillId="0" borderId="10" xfId="53" applyFont="1" applyBorder="1">
      <alignment/>
      <protection/>
    </xf>
    <xf numFmtId="0" fontId="5" fillId="0" borderId="0" xfId="53" applyFont="1" applyBorder="1" applyAlignment="1">
      <alignment vertical="justify" wrapText="1"/>
      <protection/>
    </xf>
    <xf numFmtId="10" fontId="2" fillId="0" borderId="0" xfId="53" applyNumberFormat="1" applyFont="1">
      <alignment/>
      <protection/>
    </xf>
    <xf numFmtId="0" fontId="2" fillId="0" borderId="11" xfId="53" applyFont="1" applyBorder="1">
      <alignment/>
      <protection/>
    </xf>
    <xf numFmtId="10" fontId="4" fillId="0" borderId="0" xfId="56" applyNumberFormat="1" applyFont="1" applyBorder="1" applyAlignment="1">
      <alignment horizontal="center"/>
    </xf>
    <xf numFmtId="0" fontId="7" fillId="0" borderId="0" xfId="0" applyFont="1" applyAlignment="1">
      <alignment/>
    </xf>
    <xf numFmtId="0" fontId="4" fillId="0" borderId="0" xfId="0" applyFont="1" applyFill="1" applyAlignment="1">
      <alignment horizontal="center"/>
    </xf>
    <xf numFmtId="3" fontId="3" fillId="0" borderId="0" xfId="0" applyNumberFormat="1" applyFont="1" applyBorder="1" applyAlignment="1">
      <alignment horizontal="center"/>
    </xf>
    <xf numFmtId="0" fontId="5" fillId="0" borderId="12" xfId="0" applyFont="1" applyBorder="1" applyAlignment="1">
      <alignment horizontal="left"/>
    </xf>
    <xf numFmtId="0" fontId="5" fillId="0" borderId="13" xfId="0" applyFont="1" applyBorder="1" applyAlignment="1">
      <alignment horizontal="left"/>
    </xf>
    <xf numFmtId="3" fontId="2" fillId="0" borderId="0" xfId="53" applyNumberFormat="1" applyFont="1">
      <alignment/>
      <protection/>
    </xf>
    <xf numFmtId="3" fontId="0" fillId="0" borderId="0" xfId="0" applyNumberFormat="1" applyAlignment="1">
      <alignment/>
    </xf>
    <xf numFmtId="10" fontId="2" fillId="0" borderId="0" xfId="0" applyNumberFormat="1" applyFont="1" applyAlignment="1">
      <alignment/>
    </xf>
    <xf numFmtId="0" fontId="4" fillId="0" borderId="0" xfId="0" applyFont="1" applyBorder="1" applyAlignment="1">
      <alignment horizontal="left"/>
    </xf>
    <xf numFmtId="10" fontId="0" fillId="0" borderId="0" xfId="56" applyNumberFormat="1" applyFont="1" applyAlignment="1">
      <alignment/>
    </xf>
    <xf numFmtId="0" fontId="2" fillId="0" borderId="0" xfId="0" applyFont="1" applyBorder="1" applyAlignment="1">
      <alignment/>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10" fontId="2" fillId="0" borderId="0" xfId="0" applyNumberFormat="1" applyFont="1" applyBorder="1" applyAlignment="1">
      <alignment/>
    </xf>
    <xf numFmtId="166" fontId="4" fillId="0" borderId="0" xfId="0" applyNumberFormat="1" applyFont="1" applyFill="1" applyAlignment="1">
      <alignment horizontal="center"/>
    </xf>
    <xf numFmtId="170" fontId="0" fillId="0" borderId="0" xfId="0" applyNumberFormat="1" applyAlignment="1">
      <alignment/>
    </xf>
    <xf numFmtId="173" fontId="2" fillId="0" borderId="0" xfId="56" applyNumberFormat="1" applyFont="1" applyAlignment="1">
      <alignment/>
    </xf>
    <xf numFmtId="10" fontId="2" fillId="0" borderId="0" xfId="56" applyNumberFormat="1" applyFont="1" applyAlignment="1">
      <alignment/>
    </xf>
    <xf numFmtId="173" fontId="0" fillId="0" borderId="0" xfId="56" applyNumberFormat="1" applyFont="1" applyAlignment="1">
      <alignment/>
    </xf>
    <xf numFmtId="173" fontId="0" fillId="0" borderId="0" xfId="56" applyNumberFormat="1" applyFont="1" applyAlignment="1">
      <alignment/>
    </xf>
    <xf numFmtId="164" fontId="2" fillId="0" borderId="0" xfId="53" applyNumberFormat="1" applyFont="1">
      <alignment/>
      <protection/>
    </xf>
    <xf numFmtId="0" fontId="5" fillId="0" borderId="0" xfId="0" applyFont="1" applyBorder="1" applyAlignment="1">
      <alignment vertical="center" wrapText="1"/>
    </xf>
    <xf numFmtId="9" fontId="0" fillId="0" borderId="0" xfId="56" applyFont="1" applyAlignment="1">
      <alignment/>
    </xf>
    <xf numFmtId="173" fontId="0" fillId="0" borderId="0" xfId="0" applyNumberFormat="1" applyAlignment="1">
      <alignment/>
    </xf>
    <xf numFmtId="9" fontId="2" fillId="0" borderId="0" xfId="53" applyNumberFormat="1" applyFont="1">
      <alignment/>
      <protection/>
    </xf>
    <xf numFmtId="0" fontId="2" fillId="0" borderId="0" xfId="53" applyFont="1" applyAlignment="1">
      <alignment horizontal="center"/>
      <protection/>
    </xf>
    <xf numFmtId="2" fontId="2" fillId="0" borderId="0" xfId="53" applyNumberFormat="1" applyFont="1">
      <alignment/>
      <protection/>
    </xf>
    <xf numFmtId="9" fontId="2" fillId="0" borderId="0" xfId="53" applyNumberFormat="1" applyFont="1" applyAlignment="1">
      <alignment horizontal="center"/>
      <protection/>
    </xf>
    <xf numFmtId="0" fontId="10" fillId="0" borderId="14" xfId="0" applyFont="1" applyBorder="1" applyAlignment="1">
      <alignment/>
    </xf>
    <xf numFmtId="0" fontId="10" fillId="0" borderId="15" xfId="0" applyFont="1" applyBorder="1" applyAlignment="1">
      <alignment/>
    </xf>
    <xf numFmtId="0" fontId="3" fillId="0" borderId="16" xfId="0" applyFont="1" applyBorder="1" applyAlignment="1">
      <alignment/>
    </xf>
    <xf numFmtId="0" fontId="12" fillId="0" borderId="17" xfId="0" applyFont="1" applyBorder="1" applyAlignment="1">
      <alignment horizontal="left"/>
    </xf>
    <xf numFmtId="0" fontId="12" fillId="0" borderId="0" xfId="0" applyFont="1" applyBorder="1" applyAlignment="1">
      <alignment horizontal="left"/>
    </xf>
    <xf numFmtId="0" fontId="12" fillId="0" borderId="18" xfId="0" applyFont="1" applyBorder="1" applyAlignment="1">
      <alignment horizontal="left"/>
    </xf>
    <xf numFmtId="0" fontId="12" fillId="0" borderId="0" xfId="0" applyFont="1" applyAlignment="1">
      <alignment horizontal="center" vertical="center" wrapText="1"/>
    </xf>
    <xf numFmtId="0" fontId="11" fillId="0" borderId="19" xfId="0" applyFont="1" applyBorder="1" applyAlignment="1">
      <alignment horizontal="center" vertical="center" wrapText="1"/>
    </xf>
    <xf numFmtId="0" fontId="12" fillId="0" borderId="19" xfId="0" applyFont="1" applyBorder="1" applyAlignment="1">
      <alignment horizontal="center" vertical="center" wrapText="1"/>
    </xf>
    <xf numFmtId="3" fontId="12" fillId="0" borderId="0" xfId="0" applyNumberFormat="1" applyFont="1" applyAlignment="1">
      <alignment horizontal="center" vertical="center" wrapText="1"/>
    </xf>
    <xf numFmtId="0" fontId="12" fillId="0" borderId="19" xfId="0" applyFont="1" applyBorder="1" applyAlignment="1">
      <alignment horizontal="left" vertical="center"/>
    </xf>
    <xf numFmtId="0" fontId="12" fillId="0" borderId="0" xfId="0" applyFont="1" applyAlignment="1">
      <alignment/>
    </xf>
    <xf numFmtId="3" fontId="12" fillId="0" borderId="0" xfId="0" applyNumberFormat="1" applyFont="1" applyAlignment="1">
      <alignment/>
    </xf>
    <xf numFmtId="164" fontId="12" fillId="0" borderId="0" xfId="0" applyNumberFormat="1" applyFont="1" applyAlignment="1">
      <alignment/>
    </xf>
    <xf numFmtId="0" fontId="12" fillId="0" borderId="19" xfId="0" applyFont="1" applyFill="1" applyBorder="1" applyAlignment="1">
      <alignment horizontal="center" vertical="center" wrapText="1"/>
    </xf>
    <xf numFmtId="0" fontId="12" fillId="0" borderId="0" xfId="0" applyFont="1" applyFill="1" applyAlignment="1">
      <alignment horizontal="center"/>
    </xf>
    <xf numFmtId="3" fontId="12" fillId="0" borderId="0" xfId="0" applyNumberFormat="1" applyFont="1" applyAlignment="1">
      <alignment horizontal="center"/>
    </xf>
    <xf numFmtId="164" fontId="12" fillId="0" borderId="0" xfId="0" applyNumberFormat="1" applyFont="1" applyAlignment="1">
      <alignment horizontal="center"/>
    </xf>
    <xf numFmtId="3" fontId="12" fillId="0" borderId="0" xfId="0" applyNumberFormat="1" applyFont="1" applyFill="1" applyAlignment="1">
      <alignment horizontal="center"/>
    </xf>
    <xf numFmtId="0" fontId="11" fillId="0" borderId="19" xfId="0" applyFont="1" applyBorder="1" applyAlignment="1">
      <alignment/>
    </xf>
    <xf numFmtId="3" fontId="11" fillId="33" borderId="19" xfId="0" applyNumberFormat="1" applyFont="1" applyFill="1" applyBorder="1" applyAlignment="1">
      <alignment horizontal="center"/>
    </xf>
    <xf numFmtId="164" fontId="11" fillId="33" borderId="19" xfId="0" applyNumberFormat="1" applyFont="1" applyFill="1" applyBorder="1" applyAlignment="1">
      <alignment horizontal="center"/>
    </xf>
    <xf numFmtId="0" fontId="12" fillId="0" borderId="0" xfId="0" applyFont="1" applyAlignment="1">
      <alignment horizontal="center"/>
    </xf>
    <xf numFmtId="4" fontId="12" fillId="0" borderId="0" xfId="0" applyNumberFormat="1" applyFont="1" applyAlignment="1">
      <alignment/>
    </xf>
    <xf numFmtId="3" fontId="12" fillId="0" borderId="0" xfId="0" applyNumberFormat="1" applyFont="1" applyAlignment="1">
      <alignment horizontal="right"/>
    </xf>
    <xf numFmtId="0" fontId="12" fillId="0" borderId="0" xfId="0" applyFont="1" applyFill="1" applyAlignment="1">
      <alignment/>
    </xf>
    <xf numFmtId="3" fontId="11" fillId="33" borderId="19" xfId="0" applyNumberFormat="1" applyFont="1" applyFill="1" applyBorder="1" applyAlignment="1">
      <alignment horizontal="right"/>
    </xf>
    <xf numFmtId="3" fontId="11" fillId="33" borderId="19" xfId="0" applyNumberFormat="1" applyFont="1" applyFill="1" applyBorder="1" applyAlignment="1">
      <alignment/>
    </xf>
    <xf numFmtId="0" fontId="12" fillId="0" borderId="0" xfId="53" applyFont="1" applyBorder="1" applyAlignment="1">
      <alignment horizontal="center" vertical="center" wrapText="1"/>
      <protection/>
    </xf>
    <xf numFmtId="0" fontId="12" fillId="0" borderId="0" xfId="53" applyFont="1" applyFill="1" applyBorder="1" applyAlignment="1">
      <alignment horizontal="center" vertical="center" wrapText="1"/>
      <protection/>
    </xf>
    <xf numFmtId="0" fontId="12" fillId="0" borderId="17" xfId="53" applyFont="1" applyBorder="1" applyAlignment="1">
      <alignment vertical="center"/>
      <protection/>
    </xf>
    <xf numFmtId="3" fontId="12" fillId="0" borderId="17" xfId="53" applyNumberFormat="1" applyFont="1" applyBorder="1" applyAlignment="1">
      <alignment horizontal="center" vertical="center"/>
      <protection/>
    </xf>
    <xf numFmtId="0" fontId="12" fillId="0" borderId="0" xfId="0" applyFont="1" applyBorder="1" applyAlignment="1">
      <alignment horizontal="left" vertical="center" wrapText="1"/>
    </xf>
    <xf numFmtId="3" fontId="12" fillId="0" borderId="0" xfId="53" applyNumberFormat="1" applyFont="1" applyBorder="1" applyAlignment="1">
      <alignment horizontal="center" vertical="center"/>
      <protection/>
    </xf>
    <xf numFmtId="0" fontId="12" fillId="0" borderId="12" xfId="0" applyFont="1" applyBorder="1" applyAlignment="1">
      <alignment horizontal="left" vertical="center" wrapText="1"/>
    </xf>
    <xf numFmtId="3" fontId="12" fillId="0" borderId="12" xfId="53" applyNumberFormat="1" applyFont="1" applyBorder="1" applyAlignment="1">
      <alignment horizontal="center" vertical="center"/>
      <protection/>
    </xf>
    <xf numFmtId="0" fontId="12" fillId="0" borderId="17" xfId="53" applyFont="1" applyBorder="1" applyAlignment="1">
      <alignment horizontal="left"/>
      <protection/>
    </xf>
    <xf numFmtId="0" fontId="12" fillId="0" borderId="0" xfId="53" applyFont="1" applyBorder="1" applyAlignment="1">
      <alignment horizontal="left"/>
      <protection/>
    </xf>
    <xf numFmtId="0" fontId="12" fillId="0" borderId="12" xfId="53" applyFont="1" applyBorder="1" applyAlignment="1">
      <alignment horizontal="center" vertical="center" wrapText="1"/>
      <protection/>
    </xf>
    <xf numFmtId="0" fontId="12" fillId="0" borderId="12" xfId="53" applyFont="1" applyFill="1" applyBorder="1" applyAlignment="1">
      <alignment horizontal="center" vertical="center" wrapText="1"/>
      <protection/>
    </xf>
    <xf numFmtId="0" fontId="12" fillId="0" borderId="0" xfId="53" applyFont="1" applyBorder="1">
      <alignment/>
      <protection/>
    </xf>
    <xf numFmtId="10" fontId="12" fillId="0" borderId="0" xfId="56" applyNumberFormat="1" applyFont="1" applyBorder="1" applyAlignment="1">
      <alignment horizontal="center"/>
    </xf>
    <xf numFmtId="0" fontId="12" fillId="0" borderId="19" xfId="53" applyFont="1" applyBorder="1" applyAlignment="1">
      <alignment horizontal="left"/>
      <protection/>
    </xf>
    <xf numFmtId="0" fontId="12" fillId="0" borderId="0" xfId="0" applyFont="1" applyBorder="1" applyAlignment="1">
      <alignment horizontal="center" vertical="center" wrapText="1"/>
    </xf>
    <xf numFmtId="0" fontId="12" fillId="0" borderId="17" xfId="0" applyFont="1" applyBorder="1" applyAlignment="1">
      <alignment/>
    </xf>
    <xf numFmtId="3" fontId="12" fillId="0" borderId="17" xfId="0" applyNumberFormat="1" applyFont="1" applyBorder="1" applyAlignment="1">
      <alignment horizontal="center"/>
    </xf>
    <xf numFmtId="3" fontId="12" fillId="0" borderId="0" xfId="0" applyNumberFormat="1" applyFont="1" applyBorder="1" applyAlignment="1">
      <alignment horizontal="center"/>
    </xf>
    <xf numFmtId="3" fontId="12" fillId="0" borderId="12" xfId="0" applyNumberFormat="1" applyFont="1" applyBorder="1" applyAlignment="1">
      <alignment horizontal="center"/>
    </xf>
    <xf numFmtId="0" fontId="12" fillId="0" borderId="0" xfId="0" applyFont="1" applyBorder="1" applyAlignment="1">
      <alignment horizontal="center"/>
    </xf>
    <xf numFmtId="10" fontId="12" fillId="0" borderId="17" xfId="56" applyNumberFormat="1" applyFont="1" applyBorder="1" applyAlignment="1">
      <alignment horizontal="center"/>
    </xf>
    <xf numFmtId="0" fontId="12" fillId="0" borderId="12" xfId="0" applyFont="1" applyBorder="1" applyAlignment="1">
      <alignment/>
    </xf>
    <xf numFmtId="10" fontId="12" fillId="0" borderId="12" xfId="56" applyNumberFormat="1" applyFont="1" applyBorder="1" applyAlignment="1">
      <alignment horizontal="center"/>
    </xf>
    <xf numFmtId="0" fontId="12" fillId="0" borderId="0" xfId="0" applyFont="1" applyFill="1" applyBorder="1" applyAlignment="1">
      <alignment horizontal="center" vertical="center" wrapText="1"/>
    </xf>
    <xf numFmtId="0" fontId="12" fillId="0" borderId="17" xfId="0" applyFont="1" applyBorder="1" applyAlignment="1">
      <alignment vertical="center"/>
    </xf>
    <xf numFmtId="3" fontId="12" fillId="0" borderId="17" xfId="0" applyNumberFormat="1" applyFont="1" applyBorder="1" applyAlignment="1">
      <alignment horizontal="center" vertical="center"/>
    </xf>
    <xf numFmtId="3" fontId="12" fillId="0" borderId="0" xfId="0" applyNumberFormat="1" applyFont="1" applyBorder="1" applyAlignment="1">
      <alignment horizontal="center" vertical="center"/>
    </xf>
    <xf numFmtId="3" fontId="12" fillId="0" borderId="12" xfId="0" applyNumberFormat="1" applyFont="1" applyBorder="1" applyAlignment="1">
      <alignment horizontal="center" vertical="center"/>
    </xf>
    <xf numFmtId="0" fontId="12" fillId="0" borderId="12" xfId="0" applyFont="1" applyBorder="1" applyAlignment="1">
      <alignment vertical="center"/>
    </xf>
    <xf numFmtId="0" fontId="12" fillId="0" borderId="12" xfId="0" applyFont="1" applyBorder="1" applyAlignment="1">
      <alignment horizontal="left"/>
    </xf>
    <xf numFmtId="0" fontId="12" fillId="0" borderId="0" xfId="53" applyFont="1" applyBorder="1" applyAlignment="1">
      <alignment horizontal="center" vertical="center" wrapText="1"/>
      <protection/>
    </xf>
    <xf numFmtId="0" fontId="12" fillId="0" borderId="0" xfId="53" applyFont="1" applyFill="1" applyBorder="1" applyAlignment="1">
      <alignment horizontal="center" vertical="center" wrapText="1"/>
      <protection/>
    </xf>
    <xf numFmtId="0" fontId="12" fillId="0" borderId="17" xfId="53" applyFont="1" applyBorder="1" applyAlignment="1">
      <alignment vertical="center"/>
      <protection/>
    </xf>
    <xf numFmtId="3" fontId="12" fillId="0" borderId="17" xfId="53" applyNumberFormat="1" applyFont="1" applyBorder="1" applyAlignment="1">
      <alignment horizontal="center" vertical="center"/>
      <protection/>
    </xf>
    <xf numFmtId="0" fontId="12" fillId="0" borderId="0" xfId="0" applyFont="1" applyBorder="1" applyAlignment="1">
      <alignment horizontal="left" vertical="center" wrapText="1"/>
    </xf>
    <xf numFmtId="3" fontId="12" fillId="0" borderId="0" xfId="53" applyNumberFormat="1" applyFont="1" applyBorder="1" applyAlignment="1">
      <alignment horizontal="center" vertical="center"/>
      <protection/>
    </xf>
    <xf numFmtId="0" fontId="12" fillId="0" borderId="12" xfId="0" applyFont="1" applyBorder="1" applyAlignment="1">
      <alignment horizontal="left" vertical="center" wrapText="1"/>
    </xf>
    <xf numFmtId="3" fontId="12" fillId="0" borderId="12" xfId="53" applyNumberFormat="1" applyFont="1" applyBorder="1" applyAlignment="1">
      <alignment horizontal="center" vertical="center"/>
      <protection/>
    </xf>
    <xf numFmtId="0" fontId="12" fillId="0" borderId="0" xfId="53" applyFont="1" applyBorder="1" applyAlignment="1">
      <alignment/>
      <protection/>
    </xf>
    <xf numFmtId="10" fontId="12" fillId="0" borderId="17" xfId="56" applyNumberFormat="1" applyFont="1" applyBorder="1" applyAlignment="1">
      <alignment horizontal="center" vertical="center"/>
    </xf>
    <xf numFmtId="10" fontId="12" fillId="0" borderId="17" xfId="56" applyNumberFormat="1" applyFont="1" applyBorder="1" applyAlignment="1">
      <alignment horizontal="center"/>
    </xf>
    <xf numFmtId="0" fontId="12" fillId="0" borderId="12" xfId="53" applyFont="1" applyBorder="1" applyAlignment="1">
      <alignment vertical="center"/>
      <protection/>
    </xf>
    <xf numFmtId="10" fontId="12" fillId="0" borderId="12" xfId="56" applyNumberFormat="1" applyFont="1" applyBorder="1" applyAlignment="1">
      <alignment horizontal="center" vertical="center"/>
    </xf>
    <xf numFmtId="10" fontId="12" fillId="0" borderId="12" xfId="56" applyNumberFormat="1" applyFont="1" applyBorder="1" applyAlignment="1">
      <alignment horizontal="center"/>
    </xf>
    <xf numFmtId="0" fontId="12" fillId="0" borderId="19" xfId="53" applyFont="1" applyBorder="1" applyAlignment="1">
      <alignment horizontal="left"/>
      <protection/>
    </xf>
    <xf numFmtId="0" fontId="11" fillId="0" borderId="0" xfId="53" applyFont="1" applyFill="1" applyBorder="1" applyAlignment="1">
      <alignment horizontal="left"/>
      <protection/>
    </xf>
    <xf numFmtId="3" fontId="12" fillId="0" borderId="0" xfId="53" applyNumberFormat="1" applyFont="1" applyFill="1" applyBorder="1" applyAlignment="1">
      <alignment horizontal="center"/>
      <protection/>
    </xf>
    <xf numFmtId="164" fontId="12" fillId="0" borderId="0" xfId="53" applyNumberFormat="1" applyFont="1" applyFill="1" applyBorder="1" applyAlignment="1">
      <alignment horizontal="center"/>
      <protection/>
    </xf>
    <xf numFmtId="0" fontId="11" fillId="0" borderId="0" xfId="53" applyFont="1" applyBorder="1" applyAlignment="1">
      <alignment horizontal="left"/>
      <protection/>
    </xf>
    <xf numFmtId="3" fontId="11" fillId="0" borderId="0" xfId="53" applyNumberFormat="1" applyFont="1" applyBorder="1" applyAlignment="1">
      <alignment horizontal="center"/>
      <protection/>
    </xf>
    <xf numFmtId="0" fontId="11" fillId="0" borderId="0" xfId="53" applyFont="1" applyBorder="1" applyAlignment="1">
      <alignment vertical="center"/>
      <protection/>
    </xf>
    <xf numFmtId="0" fontId="2" fillId="0" borderId="0" xfId="53" applyFont="1" applyAlignment="1">
      <alignment vertical="center"/>
      <protection/>
    </xf>
    <xf numFmtId="173" fontId="11" fillId="0" borderId="0" xfId="56" applyNumberFormat="1" applyFont="1" applyBorder="1" applyAlignment="1">
      <alignment horizontal="center"/>
    </xf>
    <xf numFmtId="10" fontId="12" fillId="0" borderId="0" xfId="56" applyNumberFormat="1" applyFont="1" applyFill="1" applyBorder="1" applyAlignment="1">
      <alignment horizontal="center"/>
    </xf>
    <xf numFmtId="3" fontId="11" fillId="0" borderId="15" xfId="53" applyNumberFormat="1" applyFont="1" applyFill="1" applyBorder="1" applyAlignment="1">
      <alignment horizontal="left"/>
      <protection/>
    </xf>
    <xf numFmtId="3" fontId="11" fillId="0" borderId="15" xfId="53" applyNumberFormat="1" applyFont="1" applyBorder="1" applyAlignment="1">
      <alignment horizontal="left" vertical="center"/>
      <protection/>
    </xf>
    <xf numFmtId="164" fontId="11" fillId="0" borderId="0" xfId="53" applyNumberFormat="1" applyFont="1" applyBorder="1" applyAlignment="1">
      <alignment horizontal="center"/>
      <protection/>
    </xf>
    <xf numFmtId="0" fontId="12" fillId="0" borderId="0" xfId="53" applyFont="1" applyBorder="1" applyAlignment="1">
      <alignment horizontal="left" vertical="center" wrapText="1"/>
      <protection/>
    </xf>
    <xf numFmtId="3" fontId="12" fillId="0" borderId="12" xfId="53" applyNumberFormat="1" applyFont="1" applyFill="1" applyBorder="1" applyAlignment="1">
      <alignment horizontal="center"/>
      <protection/>
    </xf>
    <xf numFmtId="0" fontId="11" fillId="0" borderId="15" xfId="53" applyFont="1" applyBorder="1" applyAlignment="1">
      <alignment horizontal="left"/>
      <protection/>
    </xf>
    <xf numFmtId="173" fontId="11" fillId="0" borderId="0" xfId="53" applyNumberFormat="1" applyFont="1" applyBorder="1" applyAlignment="1">
      <alignment horizontal="center"/>
      <protection/>
    </xf>
    <xf numFmtId="173" fontId="11" fillId="0" borderId="0" xfId="53" applyNumberFormat="1" applyFont="1" applyBorder="1" applyAlignment="1">
      <alignment horizontal="center" vertical="center"/>
      <protection/>
    </xf>
    <xf numFmtId="0" fontId="11" fillId="0" borderId="12" xfId="53" applyFont="1" applyFill="1" applyBorder="1" applyAlignment="1">
      <alignment horizontal="left"/>
      <protection/>
    </xf>
    <xf numFmtId="0" fontId="67" fillId="0" borderId="15" xfId="0" applyFont="1" applyBorder="1" applyAlignment="1">
      <alignment/>
    </xf>
    <xf numFmtId="3" fontId="11" fillId="34" borderId="15" xfId="53" applyNumberFormat="1" applyFont="1" applyFill="1" applyBorder="1" applyAlignment="1">
      <alignment horizontal="left"/>
      <protection/>
    </xf>
    <xf numFmtId="3" fontId="12" fillId="35" borderId="0" xfId="53" applyNumberFormat="1" applyFont="1" applyFill="1" applyBorder="1" applyAlignment="1">
      <alignment horizontal="center"/>
      <protection/>
    </xf>
    <xf numFmtId="10" fontId="12" fillId="36" borderId="0" xfId="56" applyNumberFormat="1" applyFont="1" applyFill="1" applyBorder="1" applyAlignment="1">
      <alignment horizontal="center"/>
    </xf>
    <xf numFmtId="164" fontId="12" fillId="37" borderId="0" xfId="53" applyNumberFormat="1" applyFont="1" applyFill="1" applyBorder="1" applyAlignment="1">
      <alignment horizontal="center"/>
      <protection/>
    </xf>
    <xf numFmtId="3" fontId="12" fillId="38" borderId="0" xfId="53" applyNumberFormat="1" applyFont="1" applyFill="1" applyBorder="1" applyAlignment="1">
      <alignment horizontal="center"/>
      <protection/>
    </xf>
    <xf numFmtId="10" fontId="12" fillId="39" borderId="0" xfId="56" applyNumberFormat="1" applyFont="1" applyFill="1" applyBorder="1" applyAlignment="1">
      <alignment horizontal="center"/>
    </xf>
    <xf numFmtId="3" fontId="12" fillId="40" borderId="17" xfId="53" applyNumberFormat="1" applyFont="1" applyFill="1" applyBorder="1" applyAlignment="1">
      <alignment horizontal="center"/>
      <protection/>
    </xf>
    <xf numFmtId="10" fontId="12" fillId="41" borderId="17" xfId="56" applyNumberFormat="1" applyFont="1" applyFill="1" applyBorder="1" applyAlignment="1">
      <alignment horizontal="center"/>
    </xf>
    <xf numFmtId="164" fontId="12" fillId="42" borderId="17" xfId="53" applyNumberFormat="1" applyFont="1" applyFill="1" applyBorder="1" applyAlignment="1">
      <alignment horizontal="center"/>
      <protection/>
    </xf>
    <xf numFmtId="164" fontId="12" fillId="43" borderId="0" xfId="53" applyNumberFormat="1" applyFont="1" applyFill="1" applyBorder="1" applyAlignment="1">
      <alignment horizontal="center"/>
      <protection/>
    </xf>
    <xf numFmtId="10" fontId="12" fillId="0" borderId="12" xfId="56" applyNumberFormat="1" applyFont="1" applyFill="1" applyBorder="1" applyAlignment="1">
      <alignment horizontal="center"/>
    </xf>
    <xf numFmtId="3" fontId="11" fillId="44" borderId="16" xfId="53" applyNumberFormat="1" applyFont="1" applyFill="1" applyBorder="1" applyAlignment="1">
      <alignment horizontal="left"/>
      <protection/>
    </xf>
    <xf numFmtId="3" fontId="12" fillId="45" borderId="12" xfId="53" applyNumberFormat="1" applyFont="1" applyFill="1" applyBorder="1" applyAlignment="1">
      <alignment horizontal="center"/>
      <protection/>
    </xf>
    <xf numFmtId="10" fontId="12" fillId="46" borderId="12" xfId="56" applyNumberFormat="1" applyFont="1" applyFill="1" applyBorder="1" applyAlignment="1">
      <alignment horizontal="center"/>
    </xf>
    <xf numFmtId="164" fontId="12" fillId="47" borderId="12" xfId="53" applyNumberFormat="1" applyFont="1" applyFill="1" applyBorder="1" applyAlignment="1">
      <alignment horizontal="center"/>
      <protection/>
    </xf>
    <xf numFmtId="4" fontId="0" fillId="0" borderId="0" xfId="0" applyNumberFormat="1" applyFill="1" applyAlignment="1">
      <alignment/>
    </xf>
    <xf numFmtId="0" fontId="0" fillId="0" borderId="0" xfId="0" applyFill="1" applyAlignment="1">
      <alignment/>
    </xf>
    <xf numFmtId="3" fontId="11" fillId="0" borderId="19" xfId="0" applyNumberFormat="1" applyFont="1" applyFill="1" applyBorder="1" applyAlignment="1">
      <alignment horizontal="center"/>
    </xf>
    <xf numFmtId="2" fontId="0" fillId="0" borderId="0" xfId="0" applyNumberFormat="1" applyFill="1" applyAlignment="1">
      <alignment/>
    </xf>
    <xf numFmtId="173" fontId="4" fillId="0" borderId="0" xfId="56" applyNumberFormat="1" applyFont="1" applyFill="1" applyAlignment="1">
      <alignment horizontal="center"/>
    </xf>
    <xf numFmtId="14" fontId="0" fillId="0" borderId="0" xfId="0" applyNumberFormat="1" applyFill="1" applyAlignment="1">
      <alignment/>
    </xf>
    <xf numFmtId="3" fontId="11" fillId="0" borderId="14" xfId="53" applyNumberFormat="1" applyFont="1" applyFill="1" applyBorder="1" applyAlignment="1">
      <alignment horizontal="left"/>
      <protection/>
    </xf>
    <xf numFmtId="3" fontId="12" fillId="0" borderId="17" xfId="53" applyNumberFormat="1" applyFont="1" applyFill="1" applyBorder="1" applyAlignment="1">
      <alignment horizontal="center"/>
      <protection/>
    </xf>
    <xf numFmtId="10" fontId="12" fillId="0" borderId="17" xfId="56" applyNumberFormat="1" applyFont="1" applyFill="1" applyBorder="1" applyAlignment="1">
      <alignment horizontal="center"/>
    </xf>
    <xf numFmtId="0" fontId="2" fillId="0" borderId="17" xfId="53" applyFont="1" applyBorder="1" applyAlignment="1">
      <alignment horizontal="center"/>
      <protection/>
    </xf>
    <xf numFmtId="0" fontId="2" fillId="0" borderId="0" xfId="53" applyFont="1" applyFill="1">
      <alignment/>
      <protection/>
    </xf>
    <xf numFmtId="0" fontId="14" fillId="0" borderId="0" xfId="0" applyFont="1" applyAlignment="1">
      <alignment/>
    </xf>
    <xf numFmtId="167" fontId="0" fillId="0" borderId="0" xfId="0" applyNumberFormat="1" applyAlignment="1">
      <alignment/>
    </xf>
    <xf numFmtId="1" fontId="0" fillId="0" borderId="0" xfId="0" applyNumberFormat="1" applyAlignment="1">
      <alignment/>
    </xf>
    <xf numFmtId="164" fontId="12" fillId="0" borderId="12" xfId="53" applyNumberFormat="1" applyFont="1" applyFill="1" applyBorder="1" applyAlignment="1">
      <alignment horizontal="center"/>
      <protection/>
    </xf>
    <xf numFmtId="3" fontId="11" fillId="0" borderId="0" xfId="53" applyNumberFormat="1" applyFont="1" applyFill="1" applyBorder="1" applyAlignment="1">
      <alignment horizontal="left"/>
      <protection/>
    </xf>
    <xf numFmtId="173" fontId="12" fillId="0" borderId="0" xfId="56" applyNumberFormat="1" applyFont="1" applyFill="1" applyBorder="1" applyAlignment="1">
      <alignment horizontal="center"/>
    </xf>
    <xf numFmtId="0" fontId="12" fillId="0" borderId="0" xfId="0" applyFont="1" applyBorder="1" applyAlignment="1">
      <alignment horizontal="left"/>
    </xf>
    <xf numFmtId="0" fontId="12" fillId="0" borderId="18" xfId="0" applyFont="1" applyBorder="1" applyAlignment="1">
      <alignment horizontal="left"/>
    </xf>
    <xf numFmtId="0" fontId="11" fillId="0" borderId="20" xfId="0" applyFont="1" applyBorder="1" applyAlignment="1">
      <alignment horizontal="center" vertical="center"/>
    </xf>
    <xf numFmtId="0" fontId="11" fillId="0" borderId="19" xfId="0" applyFont="1" applyBorder="1" applyAlignment="1">
      <alignment horizontal="center" vertical="center"/>
    </xf>
    <xf numFmtId="0" fontId="11" fillId="0" borderId="21" xfId="0" applyFont="1" applyBorder="1" applyAlignment="1">
      <alignment horizontal="center" vertical="center"/>
    </xf>
    <xf numFmtId="0" fontId="68" fillId="0" borderId="20" xfId="0" applyFont="1" applyBorder="1" applyAlignment="1">
      <alignment horizontal="center"/>
    </xf>
    <xf numFmtId="0" fontId="68" fillId="0" borderId="19" xfId="0" applyFont="1" applyBorder="1" applyAlignment="1">
      <alignment horizontal="center"/>
    </xf>
    <xf numFmtId="0" fontId="68" fillId="0" borderId="21" xfId="0" applyFont="1" applyBorder="1" applyAlignment="1">
      <alignment horizontal="center"/>
    </xf>
    <xf numFmtId="0" fontId="34" fillId="48" borderId="14" xfId="0" applyFont="1" applyFill="1" applyBorder="1" applyAlignment="1">
      <alignment horizontal="center" vertical="center"/>
    </xf>
    <xf numFmtId="0" fontId="34" fillId="49" borderId="17" xfId="0" applyFont="1" applyFill="1" applyBorder="1" applyAlignment="1">
      <alignment horizontal="center" vertical="center"/>
    </xf>
    <xf numFmtId="0" fontId="34" fillId="50" borderId="22" xfId="0" applyFont="1" applyFill="1" applyBorder="1" applyAlignment="1">
      <alignment horizontal="center" vertical="center"/>
    </xf>
    <xf numFmtId="0" fontId="34" fillId="51" borderId="16" xfId="0" applyFont="1" applyFill="1" applyBorder="1" applyAlignment="1">
      <alignment horizontal="center" vertical="center"/>
    </xf>
    <xf numFmtId="0" fontId="34" fillId="52" borderId="12" xfId="0" applyFont="1" applyFill="1" applyBorder="1" applyAlignment="1">
      <alignment horizontal="center" vertical="center"/>
    </xf>
    <xf numFmtId="0" fontId="34" fillId="53" borderId="13" xfId="0" applyFont="1" applyFill="1" applyBorder="1" applyAlignment="1">
      <alignment horizontal="center" vertical="center"/>
    </xf>
    <xf numFmtId="0" fontId="12" fillId="0" borderId="17" xfId="0" applyFont="1" applyBorder="1" applyAlignment="1">
      <alignment horizontal="left"/>
    </xf>
    <xf numFmtId="0" fontId="12" fillId="0" borderId="22" xfId="0" applyFont="1" applyBorder="1" applyAlignment="1">
      <alignment horizontal="left"/>
    </xf>
    <xf numFmtId="0" fontId="1" fillId="0" borderId="16"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1" fillId="0" borderId="19" xfId="0" applyFont="1" applyBorder="1" applyAlignment="1">
      <alignment horizontal="center" vertical="center" wrapText="1"/>
    </xf>
    <xf numFmtId="0" fontId="12" fillId="0" borderId="19" xfId="0" applyFont="1" applyBorder="1" applyAlignment="1">
      <alignment horizontal="center"/>
    </xf>
    <xf numFmtId="0" fontId="13" fillId="0" borderId="19" xfId="0" applyFont="1" applyBorder="1" applyAlignment="1">
      <alignment horizontal="left" vertical="center"/>
    </xf>
    <xf numFmtId="0" fontId="12" fillId="0" borderId="20" xfId="0" applyFont="1" applyBorder="1" applyAlignment="1">
      <alignment horizontal="left" vertical="center" wrapText="1"/>
    </xf>
    <xf numFmtId="0" fontId="12" fillId="0" borderId="19" xfId="0" applyFont="1" applyBorder="1" applyAlignment="1">
      <alignment horizontal="left" vertical="center" wrapText="1"/>
    </xf>
    <xf numFmtId="0" fontId="12" fillId="0" borderId="21" xfId="0" applyFont="1" applyBorder="1" applyAlignment="1">
      <alignment horizontal="left" vertical="center" wrapText="1"/>
    </xf>
    <xf numFmtId="0" fontId="12" fillId="0" borderId="20" xfId="0" applyFont="1" applyFill="1" applyBorder="1" applyAlignment="1">
      <alignment horizontal="justify" vertical="center" wrapText="1"/>
    </xf>
    <xf numFmtId="0" fontId="12" fillId="0" borderId="19" xfId="0" applyFont="1" applyFill="1" applyBorder="1" applyAlignment="1">
      <alignment horizontal="justify" vertical="center" wrapText="1"/>
    </xf>
    <xf numFmtId="0" fontId="12" fillId="0" borderId="21" xfId="0" applyFont="1" applyFill="1" applyBorder="1" applyAlignment="1">
      <alignment horizontal="justify" vertical="center" wrapText="1"/>
    </xf>
    <xf numFmtId="0" fontId="13" fillId="0" borderId="19" xfId="0" applyFont="1" applyBorder="1" applyAlignment="1">
      <alignment horizontal="left"/>
    </xf>
    <xf numFmtId="0" fontId="12" fillId="0" borderId="20" xfId="0" applyFont="1" applyBorder="1" applyAlignment="1">
      <alignment horizontal="justify" vertical="center" wrapText="1"/>
    </xf>
    <xf numFmtId="0" fontId="12" fillId="0" borderId="19" xfId="0" applyFont="1" applyBorder="1" applyAlignment="1">
      <alignment horizontal="justify" vertical="center" wrapText="1"/>
    </xf>
    <xf numFmtId="0" fontId="12" fillId="0" borderId="21" xfId="0" applyFont="1" applyBorder="1" applyAlignment="1">
      <alignment horizontal="justify" vertical="center" wrapText="1"/>
    </xf>
    <xf numFmtId="0" fontId="12" fillId="0" borderId="20" xfId="0" applyFont="1" applyBorder="1" applyAlignment="1">
      <alignment horizontal="left" vertical="center"/>
    </xf>
    <xf numFmtId="0" fontId="12" fillId="0" borderId="19" xfId="0" applyFont="1" applyBorder="1" applyAlignment="1">
      <alignment horizontal="left" vertical="center"/>
    </xf>
    <xf numFmtId="0" fontId="12" fillId="0" borderId="21" xfId="0" applyFont="1" applyBorder="1" applyAlignment="1">
      <alignment horizontal="left" vertical="center"/>
    </xf>
    <xf numFmtId="0" fontId="13" fillId="0" borderId="19" xfId="53" applyFont="1" applyBorder="1" applyAlignment="1">
      <alignment horizontal="left" vertical="center"/>
      <protection/>
    </xf>
    <xf numFmtId="0" fontId="12" fillId="0" borderId="12" xfId="53" applyFont="1" applyBorder="1" applyAlignment="1">
      <alignment horizontal="center"/>
      <protection/>
    </xf>
    <xf numFmtId="0" fontId="11" fillId="0" borderId="19" xfId="53" applyFont="1" applyBorder="1" applyAlignment="1">
      <alignment horizontal="center" vertical="center"/>
      <protection/>
    </xf>
    <xf numFmtId="0" fontId="12" fillId="0" borderId="17" xfId="53" applyFont="1" applyBorder="1" applyAlignment="1">
      <alignment horizontal="center" vertical="center" wrapText="1"/>
      <protection/>
    </xf>
    <xf numFmtId="0" fontId="12" fillId="0" borderId="0" xfId="53" applyFont="1" applyBorder="1" applyAlignment="1">
      <alignment horizontal="center" vertical="center" wrapText="1"/>
      <protection/>
    </xf>
    <xf numFmtId="0" fontId="12" fillId="0" borderId="19" xfId="53" applyFont="1" applyFill="1" applyBorder="1" applyAlignment="1">
      <alignment horizontal="center" vertical="center" wrapText="1"/>
      <protection/>
    </xf>
    <xf numFmtId="0" fontId="12" fillId="0" borderId="20" xfId="53" applyFont="1" applyBorder="1" applyAlignment="1">
      <alignment horizontal="justify" vertical="justify" wrapText="1"/>
      <protection/>
    </xf>
    <xf numFmtId="0" fontId="12" fillId="0" borderId="19" xfId="53" applyFont="1" applyBorder="1" applyAlignment="1">
      <alignment horizontal="justify" vertical="justify" wrapText="1"/>
      <protection/>
    </xf>
    <xf numFmtId="0" fontId="12" fillId="0" borderId="21" xfId="53" applyFont="1" applyBorder="1" applyAlignment="1">
      <alignment horizontal="justify" vertical="justify" wrapText="1"/>
      <protection/>
    </xf>
    <xf numFmtId="0" fontId="12" fillId="0" borderId="12" xfId="53" applyFont="1" applyBorder="1" applyAlignment="1">
      <alignment horizontal="center" vertical="center" wrapText="1"/>
      <protection/>
    </xf>
    <xf numFmtId="0" fontId="12" fillId="0" borderId="0" xfId="0" applyFont="1" applyBorder="1" applyAlignment="1">
      <alignment horizontal="center"/>
    </xf>
    <xf numFmtId="0" fontId="12" fillId="0" borderId="0" xfId="0" applyFont="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53" applyFont="1" applyBorder="1" applyAlignment="1">
      <alignment horizontal="justify" vertical="justify" wrapText="1"/>
      <protection/>
    </xf>
    <xf numFmtId="0" fontId="12" fillId="0" borderId="19" xfId="53" applyFont="1" applyBorder="1" applyAlignment="1">
      <alignment horizontal="justify" vertical="justify" wrapText="1"/>
      <protection/>
    </xf>
    <xf numFmtId="0" fontId="12" fillId="0" borderId="21" xfId="53" applyFont="1" applyBorder="1" applyAlignment="1">
      <alignment horizontal="justify" vertical="justify" wrapText="1"/>
      <protection/>
    </xf>
    <xf numFmtId="0" fontId="12" fillId="0" borderId="12" xfId="53" applyFont="1" applyBorder="1" applyAlignment="1">
      <alignment horizontal="center"/>
      <protection/>
    </xf>
    <xf numFmtId="0" fontId="11" fillId="0" borderId="19" xfId="53" applyFont="1" applyBorder="1" applyAlignment="1">
      <alignment horizontal="center" vertical="center"/>
      <protection/>
    </xf>
    <xf numFmtId="0" fontId="12" fillId="0" borderId="17" xfId="53" applyFont="1" applyBorder="1" applyAlignment="1">
      <alignment horizontal="center" vertical="center" wrapText="1"/>
      <protection/>
    </xf>
    <xf numFmtId="0" fontId="12" fillId="0" borderId="0" xfId="53" applyFont="1" applyBorder="1" applyAlignment="1">
      <alignment horizontal="center" vertical="center" wrapText="1"/>
      <protection/>
    </xf>
    <xf numFmtId="0" fontId="13" fillId="0" borderId="19" xfId="53" applyFont="1" applyBorder="1" applyAlignment="1">
      <alignment horizontal="left" vertical="center"/>
      <protection/>
    </xf>
    <xf numFmtId="0" fontId="12" fillId="0" borderId="19" xfId="53" applyFont="1" applyFill="1" applyBorder="1" applyAlignment="1">
      <alignment horizontal="center" vertical="center" wrapText="1"/>
      <protection/>
    </xf>
    <xf numFmtId="0" fontId="12" fillId="0" borderId="17" xfId="0" applyFont="1" applyBorder="1" applyAlignment="1">
      <alignment horizontal="center" vertical="center" wrapText="1"/>
    </xf>
    <xf numFmtId="0" fontId="12" fillId="0" borderId="20" xfId="0" applyFont="1" applyBorder="1" applyAlignment="1">
      <alignment horizontal="justify" vertical="justify" wrapText="1"/>
    </xf>
    <xf numFmtId="0" fontId="12" fillId="0" borderId="19" xfId="0" applyFont="1" applyBorder="1" applyAlignment="1">
      <alignment horizontal="justify" vertical="justify" wrapText="1"/>
    </xf>
    <xf numFmtId="0" fontId="12" fillId="0" borderId="21" xfId="0" applyFont="1" applyBorder="1" applyAlignment="1">
      <alignment horizontal="justify" vertical="justify" wrapText="1"/>
    </xf>
    <xf numFmtId="0" fontId="11" fillId="0" borderId="19" xfId="0" applyFont="1" applyBorder="1" applyAlignment="1">
      <alignment horizontal="justify" vertical="center" wrapText="1"/>
    </xf>
    <xf numFmtId="0" fontId="13" fillId="0" borderId="19" xfId="53" applyFont="1" applyBorder="1" applyAlignment="1">
      <alignment horizontal="left" vertical="center" wrapText="1"/>
      <protection/>
    </xf>
    <xf numFmtId="0" fontId="12" fillId="0" borderId="20" xfId="53" applyFont="1" applyFill="1" applyBorder="1" applyAlignment="1">
      <alignment horizontal="justify" vertical="center" wrapText="1"/>
      <protection/>
    </xf>
    <xf numFmtId="0" fontId="0" fillId="0" borderId="19" xfId="0" applyFont="1" applyBorder="1" applyAlignment="1">
      <alignment horizontal="justify" vertical="center" wrapText="1"/>
    </xf>
    <xf numFmtId="0" fontId="0" fillId="0" borderId="21" xfId="0" applyFont="1" applyBorder="1" applyAlignment="1">
      <alignment horizontal="justify" vertical="center" wrapText="1"/>
    </xf>
    <xf numFmtId="0" fontId="12" fillId="0" borderId="14" xfId="53" applyFont="1" applyBorder="1" applyAlignment="1">
      <alignment horizontal="center" vertical="center" wrapText="1"/>
      <protection/>
    </xf>
    <xf numFmtId="0" fontId="12" fillId="0" borderId="15" xfId="53" applyFont="1" applyBorder="1" applyAlignment="1">
      <alignment horizontal="center" vertical="center" wrapText="1"/>
      <protection/>
    </xf>
    <xf numFmtId="0" fontId="11" fillId="0" borderId="19" xfId="53" applyFont="1" applyBorder="1" applyAlignment="1">
      <alignment horizontal="center" vertical="center" wrapText="1"/>
      <protection/>
    </xf>
    <xf numFmtId="10" fontId="2" fillId="0" borderId="0" xfId="53" applyNumberFormat="1" applyFont="1" applyFill="1">
      <alignment/>
      <protection/>
    </xf>
    <xf numFmtId="0" fontId="50" fillId="0" borderId="0" xfId="54">
      <alignment/>
      <protection/>
    </xf>
    <xf numFmtId="0" fontId="69" fillId="0" borderId="19" xfId="54" applyFont="1" applyBorder="1" applyAlignment="1">
      <alignment horizontal="justify" vertical="center" wrapText="1"/>
      <protection/>
    </xf>
    <xf numFmtId="0" fontId="70" fillId="0" borderId="17" xfId="54" applyFont="1" applyFill="1" applyBorder="1" applyAlignment="1">
      <alignment horizontal="center" vertical="center" wrapText="1"/>
      <protection/>
    </xf>
    <xf numFmtId="0" fontId="71" fillId="0" borderId="19" xfId="54" applyFont="1" applyBorder="1" applyAlignment="1">
      <alignment horizontal="left" vertical="center" wrapText="1"/>
      <protection/>
    </xf>
    <xf numFmtId="0" fontId="71" fillId="0" borderId="12" xfId="54" applyFont="1" applyBorder="1" applyAlignment="1">
      <alignment horizontal="left" vertical="center"/>
      <protection/>
    </xf>
    <xf numFmtId="0" fontId="72" fillId="0" borderId="17" xfId="54" applyFont="1" applyBorder="1" applyAlignment="1">
      <alignment horizontal="center"/>
      <protection/>
    </xf>
    <xf numFmtId="3" fontId="72" fillId="0" borderId="17" xfId="54" applyNumberFormat="1" applyFont="1" applyBorder="1" applyAlignment="1">
      <alignment horizontal="center"/>
      <protection/>
    </xf>
    <xf numFmtId="10" fontId="72" fillId="0" borderId="17" xfId="57" applyNumberFormat="1" applyFont="1" applyBorder="1" applyAlignment="1">
      <alignment horizontal="center"/>
    </xf>
    <xf numFmtId="0" fontId="72" fillId="0" borderId="0" xfId="54" applyFont="1" applyBorder="1" applyAlignment="1">
      <alignment horizontal="center"/>
      <protection/>
    </xf>
    <xf numFmtId="3" fontId="72" fillId="0" borderId="0" xfId="54" applyNumberFormat="1" applyFont="1" applyBorder="1" applyAlignment="1">
      <alignment horizontal="center"/>
      <protection/>
    </xf>
    <xf numFmtId="10" fontId="72" fillId="0" borderId="0" xfId="57" applyNumberFormat="1" applyFont="1" applyBorder="1" applyAlignment="1">
      <alignment horizontal="center"/>
    </xf>
    <xf numFmtId="0" fontId="72" fillId="0" borderId="17" xfId="54" applyFont="1" applyBorder="1" applyAlignment="1">
      <alignment horizontal="center" vertical="center"/>
      <protection/>
    </xf>
    <xf numFmtId="0" fontId="72" fillId="0" borderId="17" xfId="54" applyFont="1" applyBorder="1" applyAlignment="1">
      <alignment horizontal="center" vertical="center" wrapText="1"/>
      <protection/>
    </xf>
    <xf numFmtId="0" fontId="72" fillId="0" borderId="17" xfId="54" applyFont="1" applyFill="1" applyBorder="1" applyAlignment="1">
      <alignment horizontal="center" vertical="center" wrapText="1"/>
      <protection/>
    </xf>
    <xf numFmtId="0" fontId="69" fillId="0" borderId="20" xfId="54" applyFont="1" applyBorder="1" applyAlignment="1">
      <alignment horizontal="justify" vertical="center" wrapText="1"/>
      <protection/>
    </xf>
    <xf numFmtId="0" fontId="69" fillId="0" borderId="21" xfId="54" applyFont="1" applyBorder="1" applyAlignment="1">
      <alignment horizontal="justify" vertic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Porcentual 2"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Monto nominal y real de BFV pagados en Costa Rica, durante la Administración Chinchilla Miranda,  del 8-5-2010 al  7-5-2014</a:t>
            </a:r>
          </a:p>
        </c:rich>
      </c:tx>
      <c:layout>
        <c:manualLayout>
          <c:xMode val="factor"/>
          <c:yMode val="factor"/>
          <c:x val="-0.0195"/>
          <c:y val="-0.00325"/>
        </c:manualLayout>
      </c:layout>
      <c:spPr>
        <a:noFill/>
        <a:ln>
          <a:noFill/>
        </a:ln>
      </c:spPr>
    </c:title>
    <c:view3D>
      <c:rotX val="15"/>
      <c:rotY val="20"/>
      <c:depthPercent val="100"/>
      <c:rAngAx val="0"/>
      <c:perspective val="30"/>
    </c:view3D>
    <c:plotArea>
      <c:layout>
        <c:manualLayout>
          <c:xMode val="edge"/>
          <c:yMode val="edge"/>
          <c:x val="0.06275"/>
          <c:y val="0.172"/>
          <c:w val="0.87525"/>
          <c:h val="0.71225"/>
        </c:manualLayout>
      </c:layout>
      <c:bar3DChart>
        <c:barDir val="col"/>
        <c:grouping val="clustered"/>
        <c:varyColors val="0"/>
        <c:ser>
          <c:idx val="0"/>
          <c:order val="0"/>
          <c:tx>
            <c:v>Monto pagado de BFV</c:v>
          </c:tx>
          <c:spPr>
            <a:gradFill rotWithShape="1">
              <a:gsLst>
                <a:gs pos="0">
                  <a:srgbClr val="FFFFFF"/>
                </a:gs>
                <a:gs pos="100000">
                  <a:srgbClr val="66FF66"/>
                </a:gs>
              </a:gsLst>
              <a:lin ang="27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CC99FF"/>
                  </a:gs>
                  <a:gs pos="100000">
                    <a:srgbClr val="FFFFFF"/>
                  </a:gs>
                </a:gsLst>
                <a:path path="rect">
                  <a:fillToRect l="50000" t="50000" r="50000" b="50000"/>
                </a:path>
              </a:gradFill>
              <a:ln w="12700">
                <a:solidFill>
                  <a:srgbClr val="000000"/>
                </a:solidFill>
              </a:ln>
            </c:spPr>
          </c:dPt>
          <c:dPt>
            <c:idx val="1"/>
            <c:invertIfNegative val="0"/>
            <c:spPr>
              <a:gradFill rotWithShape="1">
                <a:gsLst>
                  <a:gs pos="0">
                    <a:srgbClr val="FFFFFF"/>
                  </a:gs>
                  <a:gs pos="100000">
                    <a:srgbClr val="66FFFF"/>
                  </a:gs>
                </a:gsLst>
                <a:lin ang="2700000" scaled="1"/>
              </a:gradFill>
              <a:ln w="12700">
                <a:solidFill>
                  <a:srgbClr val="000000"/>
                </a:solidFill>
              </a:ln>
            </c:spPr>
          </c:dPt>
          <c:dLbls>
            <c:dLbl>
              <c:idx val="0"/>
              <c:layout>
                <c:manualLayout>
                  <c:x val="0"/>
                  <c:y val="0"/>
                </c:manualLayout>
              </c:layout>
              <c:txPr>
                <a:bodyPr vert="horz" rot="0" anchor="ctr"/>
                <a:lstStyle/>
                <a:p>
                  <a:pPr algn="ctr">
                    <a:defRPr lang="en-US" cap="none" sz="800" b="1" i="0" u="none" baseline="0">
                      <a:solidFill>
                        <a:srgbClr val="CC99FF"/>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solidFill>
                        <a:srgbClr val="00CC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CC99FF"/>
                    </a:solidFill>
                  </a:defRPr>
                </a:pPr>
              </a:p>
            </c:txPr>
            <c:showLegendKey val="0"/>
            <c:showVal val="1"/>
            <c:showBubbleSize val="0"/>
            <c:showCatName val="0"/>
            <c:showSerName val="0"/>
            <c:showPercent val="0"/>
          </c:dLbls>
          <c:cat>
            <c:strLit>
              <c:ptCount val="2"/>
              <c:pt idx="0">
                <c:v>Monto nominal</c:v>
              </c:pt>
              <c:pt idx="1">
                <c:v> Monto real</c:v>
              </c:pt>
            </c:strLit>
          </c:cat>
          <c:val>
            <c:numRef>
              <c:f>'Total Costa Rica'!$D$5:$E$5</c:f>
              <c:numCache/>
            </c:numRef>
          </c:val>
          <c:shape val="cylinder"/>
        </c:ser>
        <c:gapWidth val="210"/>
        <c:shape val="cylinder"/>
        <c:axId val="9824097"/>
        <c:axId val="21308010"/>
      </c:bar3DChart>
      <c:catAx>
        <c:axId val="9824097"/>
        <c:scaling>
          <c:orientation val="minMax"/>
        </c:scaling>
        <c:axPos val="b"/>
        <c:title>
          <c:tx>
            <c:rich>
              <a:bodyPr vert="horz" rot="0" anchor="ctr"/>
              <a:lstStyle/>
              <a:p>
                <a:pPr algn="ctr">
                  <a:defRPr/>
                </a:pPr>
                <a:r>
                  <a:rPr lang="en-US" cap="none" sz="800" b="0" i="0" u="none" baseline="0">
                    <a:solidFill>
                      <a:srgbClr val="000000"/>
                    </a:solidFill>
                  </a:rPr>
                  <a:t>Monto de BFV pagados</a:t>
                </a:r>
              </a:p>
            </c:rich>
          </c:tx>
          <c:layout>
            <c:manualLayout>
              <c:xMode val="factor"/>
              <c:yMode val="factor"/>
              <c:x val="0.0345"/>
              <c:y val="0.063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21308010"/>
        <c:crosses val="autoZero"/>
        <c:auto val="1"/>
        <c:lblOffset val="100"/>
        <c:tickLblSkip val="1"/>
        <c:noMultiLvlLbl val="0"/>
      </c:catAx>
      <c:valAx>
        <c:axId val="21308010"/>
        <c:scaling>
          <c:orientation val="minMax"/>
        </c:scaling>
        <c:axPos val="l"/>
        <c:title>
          <c:tx>
            <c:rich>
              <a:bodyPr vert="horz" rot="-5400000" anchor="ctr"/>
              <a:lstStyle/>
              <a:p>
                <a:pPr algn="ctr">
                  <a:defRPr/>
                </a:pPr>
                <a:r>
                  <a:rPr lang="en-US" cap="none" sz="800" b="0" i="0" u="none" baseline="0">
                    <a:solidFill>
                      <a:srgbClr val="000000"/>
                    </a:solidFill>
                  </a:rPr>
                  <a:t>Millones de colones</a:t>
                </a:r>
              </a:p>
            </c:rich>
          </c:tx>
          <c:layout>
            <c:manualLayout>
              <c:xMode val="factor"/>
              <c:yMode val="factor"/>
              <c:x val="-0.054"/>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9824097"/>
        <c:crossesAt val="1"/>
        <c:crossBetween val="between"/>
        <c:dispUnits/>
      </c:valAx>
      <c:spPr>
        <a:noFill/>
        <a:ln>
          <a:noFill/>
        </a:ln>
      </c:spPr>
    </c:plotArea>
    <c:floor>
      <c:spPr>
        <a:noFill/>
        <a:ln w="3175">
          <a:solidFill>
            <a:srgbClr val="808080"/>
          </a:solidFill>
        </a:ln>
      </c:spP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
Número de BFV pagados (8-5-2010 al 7-5-2014),  tasa de desempleo 2013, DH 2013 e IDS 2013, según región.  </a:t>
            </a:r>
          </a:p>
        </c:rich>
      </c:tx>
      <c:layout>
        <c:manualLayout>
          <c:xMode val="factor"/>
          <c:yMode val="factor"/>
          <c:x val="0"/>
          <c:y val="-0.01925"/>
        </c:manualLayout>
      </c:layout>
      <c:spPr>
        <a:noFill/>
        <a:ln w="3175">
          <a:noFill/>
        </a:ln>
      </c:spPr>
    </c:title>
    <c:plotArea>
      <c:layout>
        <c:manualLayout>
          <c:xMode val="edge"/>
          <c:yMode val="edge"/>
          <c:x val="0.0225"/>
          <c:y val="0.18875"/>
          <c:w val="0.7095"/>
          <c:h val="0.817"/>
        </c:manualLayout>
      </c:layout>
      <c:barChart>
        <c:barDir val="col"/>
        <c:grouping val="clustered"/>
        <c:varyColors val="0"/>
        <c:ser>
          <c:idx val="1"/>
          <c:order val="0"/>
          <c:tx>
            <c:strRef>
              <c:f>'Resumen regiones'!$C$4</c:f>
              <c:strCache>
                <c:ptCount val="1"/>
                <c:pt idx="0">
                  <c:v>Número de BFV </c:v>
                </c:pt>
              </c:strCache>
            </c:strRef>
          </c:tx>
          <c:spPr>
            <a:gradFill rotWithShape="1">
              <a:gsLst>
                <a:gs pos="0">
                  <a:srgbClr val="FF3399"/>
                </a:gs>
                <a:gs pos="100000">
                  <a:srgbClr val="FFFFFF"/>
                </a:gs>
              </a:gsLst>
              <a:lin ang="2700000" scaled="1"/>
            </a:gra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'Resumen regiones'!$B$5:$B$10</c:f>
              <c:strCache/>
            </c:strRef>
          </c:cat>
          <c:val>
            <c:numRef>
              <c:f>'Resumen regiones'!$C$5:$C$10</c:f>
              <c:numCache/>
            </c:numRef>
          </c:val>
        </c:ser>
        <c:axId val="57554363"/>
        <c:axId val="48227220"/>
      </c:barChart>
      <c:lineChart>
        <c:grouping val="standard"/>
        <c:varyColors val="0"/>
        <c:ser>
          <c:idx val="2"/>
          <c:order val="1"/>
          <c:tx>
            <c:strRef>
              <c:f>'Resumen regiones'!$G$4</c:f>
              <c:strCache>
                <c:ptCount val="1"/>
                <c:pt idx="0">
                  <c:v>Tasa de desempleo 2013</c:v>
                </c:pt>
              </c:strCache>
            </c:strRef>
          </c:tx>
          <c:spPr>
            <a:ln w="12700">
              <a:solidFill>
                <a:srgbClr val="00FF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00FF00"/>
              </a:solidFill>
              <a:ln>
                <a:solidFill>
                  <a:srgbClr val="00FF00"/>
                </a:solidFill>
              </a:ln>
            </c:spPr>
          </c:marker>
          <c:cat>
            <c:strRef>
              <c:f>'Resumen regiones'!$B$5:$B$10</c:f>
              <c:strCache/>
            </c:strRef>
          </c:cat>
          <c:val>
            <c:numRef>
              <c:f>'Resumen regiones'!$G$5:$G$10</c:f>
              <c:numCache/>
            </c:numRef>
          </c:val>
          <c:smooth val="1"/>
        </c:ser>
        <c:ser>
          <c:idx val="0"/>
          <c:order val="2"/>
          <c:tx>
            <c:strRef>
              <c:f>'Resumen regiones'!$H$4</c:f>
              <c:strCache>
                <c:ptCount val="1"/>
                <c:pt idx="0">
                  <c:v>Peso relativo del DH 2013</c:v>
                </c:pt>
              </c:strCache>
            </c:strRef>
          </c:tx>
          <c:spPr>
            <a:ln w="127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FF00"/>
                </a:solidFill>
              </a:ln>
            </c:spPr>
          </c:marker>
          <c:dPt>
            <c:idx val="1"/>
            <c:spPr>
              <a:ln w="25400">
                <a:solidFill>
                  <a:srgbClr val="FFFF00"/>
                </a:solidFill>
                <a:prstDash val="dash"/>
              </a:ln>
            </c:spPr>
            <c:marker>
              <c:size val="7"/>
              <c:spPr>
                <a:solidFill>
                  <a:srgbClr val="FFFF00"/>
                </a:solidFill>
                <a:ln>
                  <a:solidFill>
                    <a:srgbClr val="FFFF00"/>
                  </a:solidFill>
                </a:ln>
              </c:spPr>
            </c:marker>
          </c:dPt>
          <c:cat>
            <c:strRef>
              <c:f>'Resumen regiones'!$B$5:$B$10</c:f>
              <c:strCache/>
            </c:strRef>
          </c:cat>
          <c:val>
            <c:numRef>
              <c:f>'Resumen regiones'!$H$5:$H$10</c:f>
              <c:numCache/>
            </c:numRef>
          </c:val>
          <c:smooth val="0"/>
        </c:ser>
        <c:ser>
          <c:idx val="3"/>
          <c:order val="3"/>
          <c:tx>
            <c:strRef>
              <c:f>'Resumen regiones'!$I$4</c:f>
              <c:strCache>
                <c:ptCount val="1"/>
                <c:pt idx="0">
                  <c:v>IDS 2013 (promedio)</c:v>
                </c:pt>
              </c:strCache>
            </c:strRef>
          </c:tx>
          <c:spPr>
            <a:ln w="25400">
              <a:solidFill>
                <a:srgbClr val="3366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x"/>
            <c:size val="4"/>
            <c:spPr>
              <a:solidFill>
                <a:srgbClr val="33CCCC"/>
              </a:solidFill>
              <a:ln>
                <a:solidFill>
                  <a:srgbClr val="3366FF"/>
                </a:solidFill>
              </a:ln>
            </c:spPr>
          </c:marker>
          <c:cat>
            <c:strRef>
              <c:f>'Resumen regiones'!$B$5:$B$10</c:f>
              <c:strCache/>
            </c:strRef>
          </c:cat>
          <c:val>
            <c:numRef>
              <c:f>'Resumen regiones'!$I$5:$I$10</c:f>
              <c:numCache/>
            </c:numRef>
          </c:val>
          <c:smooth val="0"/>
        </c:ser>
        <c:axId val="31391797"/>
        <c:axId val="14090718"/>
      </c:lineChart>
      <c:catAx>
        <c:axId val="57554363"/>
        <c:scaling>
          <c:orientation val="minMax"/>
        </c:scaling>
        <c:axPos val="b"/>
        <c:delete val="0"/>
        <c:numFmt formatCode="General" sourceLinked="1"/>
        <c:majorTickMark val="cross"/>
        <c:minorTickMark val="none"/>
        <c:tickLblPos val="nextTo"/>
        <c:spPr>
          <a:ln w="3175">
            <a:solidFill>
              <a:srgbClr val="000000"/>
            </a:solidFill>
          </a:ln>
        </c:spPr>
        <c:txPr>
          <a:bodyPr vert="horz" rot="-2100000"/>
          <a:lstStyle/>
          <a:p>
            <a:pPr>
              <a:defRPr lang="en-US" cap="none" sz="600" b="0" i="0" u="none" baseline="0">
                <a:solidFill>
                  <a:srgbClr val="000000"/>
                </a:solidFill>
              </a:defRPr>
            </a:pPr>
          </a:p>
        </c:txPr>
        <c:crossAx val="48227220"/>
        <c:crosses val="autoZero"/>
        <c:auto val="0"/>
        <c:lblOffset val="100"/>
        <c:tickLblSkip val="1"/>
        <c:noMultiLvlLbl val="0"/>
      </c:catAx>
      <c:valAx>
        <c:axId val="48227220"/>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57554363"/>
        <c:crossesAt val="1"/>
        <c:crossBetween val="between"/>
        <c:dispUnits/>
      </c:valAx>
      <c:catAx>
        <c:axId val="31391797"/>
        <c:scaling>
          <c:orientation val="minMax"/>
        </c:scaling>
        <c:axPos val="b"/>
        <c:delete val="1"/>
        <c:majorTickMark val="out"/>
        <c:minorTickMark val="none"/>
        <c:tickLblPos val="none"/>
        <c:crossAx val="14090718"/>
        <c:crosses val="autoZero"/>
        <c:auto val="0"/>
        <c:lblOffset val="100"/>
        <c:tickLblSkip val="1"/>
        <c:noMultiLvlLbl val="0"/>
      </c:catAx>
      <c:valAx>
        <c:axId val="14090718"/>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31391797"/>
        <c:crosses val="max"/>
        <c:crossBetween val="between"/>
        <c:dispUnits/>
      </c:valAx>
      <c:spPr>
        <a:noFill/>
        <a:ln>
          <a:noFill/>
        </a:ln>
      </c:spPr>
    </c:plotArea>
    <c:legend>
      <c:legendPos val="r"/>
      <c:layout>
        <c:manualLayout>
          <c:xMode val="edge"/>
          <c:yMode val="edge"/>
          <c:x val="0.7505"/>
          <c:y val="0.16925"/>
          <c:w val="0.227"/>
          <c:h val="0.725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Monto nominal y real (base 1995=100) de BFV pagados por provincia, durante la Administración Chinchilla Miranda, del 8-5-2010 al 7-5-2014.</a:t>
            </a:r>
          </a:p>
        </c:rich>
      </c:tx>
      <c:layout>
        <c:manualLayout>
          <c:xMode val="factor"/>
          <c:yMode val="factor"/>
          <c:x val="-0.02"/>
          <c:y val="0"/>
        </c:manualLayout>
      </c:layout>
      <c:spPr>
        <a:noFill/>
        <a:ln>
          <a:noFill/>
        </a:ln>
      </c:spPr>
    </c:title>
    <c:view3D>
      <c:rotX val="15"/>
      <c:hPercent val="45"/>
      <c:rotY val="20"/>
      <c:depthPercent val="100"/>
      <c:rAngAx val="1"/>
    </c:view3D>
    <c:plotArea>
      <c:layout>
        <c:manualLayout>
          <c:xMode val="edge"/>
          <c:yMode val="edge"/>
          <c:x val="0.047"/>
          <c:y val="0.157"/>
          <c:w val="0.771"/>
          <c:h val="0.75125"/>
        </c:manualLayout>
      </c:layout>
      <c:bar3DChart>
        <c:barDir val="col"/>
        <c:grouping val="clustered"/>
        <c:varyColors val="0"/>
        <c:ser>
          <c:idx val="0"/>
          <c:order val="0"/>
          <c:tx>
            <c:v>Monto nominal</c:v>
          </c:tx>
          <c:spPr>
            <a:gradFill rotWithShape="1">
              <a:gsLst>
                <a:gs pos="50000">
                  <a:srgbClr val="FFFFFF"/>
                </a:gs>
                <a:gs pos="50000">
                  <a:srgbClr val="3399FF"/>
                </a:gs>
                <a:gs pos="100000">
                  <a:srgbClr val="3399FF"/>
                </a:gs>
              </a:gsLst>
              <a:path path="rect">
                <a:fillToRect l="50000" t="50000" r="50000" b="50000"/>
              </a:path>
            </a:gra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'Por provincia'!$D$14:$J$14</c:f>
              <c:strCache/>
            </c:strRef>
          </c:cat>
          <c:val>
            <c:numRef>
              <c:f>'Por provincia'!$D$6:$J$6</c:f>
              <c:numCache/>
            </c:numRef>
          </c:val>
          <c:shape val="box"/>
        </c:ser>
        <c:ser>
          <c:idx val="1"/>
          <c:order val="1"/>
          <c:tx>
            <c:v>Monto real</c:v>
          </c:tx>
          <c:spPr>
            <a:gradFill rotWithShape="1">
              <a:gsLst>
                <a:gs pos="50000">
                  <a:srgbClr val="FFFFFF"/>
                </a:gs>
                <a:gs pos="50000">
                  <a:srgbClr val="FF6699"/>
                </a:gs>
                <a:gs pos="100000">
                  <a:srgbClr val="FF6699"/>
                </a:gs>
              </a:gsLst>
              <a:path path="rect">
                <a:fillToRect l="50000" t="50000" r="50000" b="50000"/>
              </a:path>
            </a:gra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'Por provincia'!$D$14:$J$14</c:f>
              <c:strCache/>
            </c:strRef>
          </c:cat>
          <c:val>
            <c:numRef>
              <c:f>'Por provincia'!$D$7:$J$7</c:f>
              <c:numCache/>
            </c:numRef>
          </c:val>
          <c:shape val="box"/>
        </c:ser>
        <c:shape val="box"/>
        <c:axId val="59707599"/>
        <c:axId val="497480"/>
      </c:bar3DChart>
      <c:catAx>
        <c:axId val="59707599"/>
        <c:scaling>
          <c:orientation val="minMax"/>
        </c:scaling>
        <c:axPos val="b"/>
        <c:title>
          <c:tx>
            <c:rich>
              <a:bodyPr vert="horz" rot="0" anchor="ctr"/>
              <a:lstStyle/>
              <a:p>
                <a:pPr algn="ctr">
                  <a:defRPr/>
                </a:pPr>
                <a:r>
                  <a:rPr lang="en-US" cap="none" sz="800" b="0" i="0" u="none" baseline="0">
                    <a:solidFill>
                      <a:srgbClr val="000000"/>
                    </a:solidFill>
                  </a:rPr>
                  <a:t>Provincia</a:t>
                </a:r>
              </a:p>
            </c:rich>
          </c:tx>
          <c:layout>
            <c:manualLayout>
              <c:xMode val="factor"/>
              <c:yMode val="factor"/>
              <c:x val="-0.02"/>
              <c:y val="0.0605"/>
            </c:manualLayout>
          </c:layout>
          <c:overlay val="0"/>
          <c:spPr>
            <a:noFill/>
            <a:ln>
              <a:noFill/>
            </a:ln>
          </c:spPr>
        </c:title>
        <c:delete val="0"/>
        <c:numFmt formatCode="General" sourceLinked="1"/>
        <c:majorTickMark val="none"/>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497480"/>
        <c:crosses val="autoZero"/>
        <c:auto val="1"/>
        <c:lblOffset val="100"/>
        <c:tickLblSkip val="1"/>
        <c:noMultiLvlLbl val="0"/>
      </c:catAx>
      <c:valAx>
        <c:axId val="497480"/>
        <c:scaling>
          <c:orientation val="minMax"/>
        </c:scaling>
        <c:axPos val="l"/>
        <c:title>
          <c:tx>
            <c:rich>
              <a:bodyPr vert="horz" rot="-5400000" anchor="ctr"/>
              <a:lstStyle/>
              <a:p>
                <a:pPr algn="ctr">
                  <a:defRPr/>
                </a:pPr>
                <a:r>
                  <a:rPr lang="en-US" cap="none" sz="800" b="0" i="0" u="none" baseline="0">
                    <a:solidFill>
                      <a:srgbClr val="000000"/>
                    </a:solidFill>
                  </a:rPr>
                  <a:t>Monto en millones de colones</a:t>
                </a:r>
              </a:p>
            </c:rich>
          </c:tx>
          <c:layout>
            <c:manualLayout>
              <c:xMode val="factor"/>
              <c:yMode val="factor"/>
              <c:x val="-0.07225"/>
              <c:y val="0.040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59707599"/>
        <c:crossesAt val="1"/>
        <c:crossBetween val="between"/>
        <c:dispUnits/>
      </c:valAx>
      <c:spPr>
        <a:noFill/>
        <a:ln>
          <a:noFill/>
        </a:ln>
      </c:spPr>
    </c:plotArea>
    <c:legend>
      <c:legendPos val="r"/>
      <c:layout>
        <c:manualLayout>
          <c:xMode val="edge"/>
          <c:yMode val="edge"/>
          <c:x val="0.84275"/>
          <c:y val="0.495"/>
          <c:w val="0.15"/>
          <c:h val="0.1245"/>
        </c:manualLayout>
      </c:layout>
      <c:overlay val="0"/>
      <c:spPr>
        <a:noFill/>
        <a:ln w="3175">
          <a:noFill/>
        </a:ln>
      </c:spPr>
      <c:txPr>
        <a:bodyPr vert="horz" rot="0"/>
        <a:lstStyle/>
        <a:p>
          <a:pPr>
            <a:defRPr lang="en-US" cap="none" sz="73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Monto nominal y real (base 1995=100) de BFV pagados por estrato,  durante la Administración Chinchilla Miranda, del 8-5-2010 al  7-5-2014.</a:t>
            </a:r>
          </a:p>
        </c:rich>
      </c:tx>
      <c:layout>
        <c:manualLayout>
          <c:xMode val="factor"/>
          <c:yMode val="factor"/>
          <c:x val="-0.01525"/>
          <c:y val="0.01075"/>
        </c:manualLayout>
      </c:layout>
      <c:spPr>
        <a:noFill/>
        <a:ln>
          <a:noFill/>
        </a:ln>
      </c:spPr>
    </c:title>
    <c:plotArea>
      <c:layout>
        <c:manualLayout>
          <c:xMode val="edge"/>
          <c:yMode val="edge"/>
          <c:x val="0.107"/>
          <c:y val="0.236"/>
          <c:w val="0.66575"/>
          <c:h val="0.67325"/>
        </c:manualLayout>
      </c:layout>
      <c:barChart>
        <c:barDir val="col"/>
        <c:grouping val="clustered"/>
        <c:varyColors val="0"/>
        <c:ser>
          <c:idx val="1"/>
          <c:order val="0"/>
          <c:tx>
            <c:v>Monto nominal</c:v>
          </c:tx>
          <c:spPr>
            <a:gradFill rotWithShape="1">
              <a:gsLst>
                <a:gs pos="50000">
                  <a:srgbClr val="B9CDE5"/>
                </a:gs>
                <a:gs pos="50000">
                  <a:srgbClr val="DBEEF4"/>
                </a:gs>
                <a:gs pos="100000">
                  <a:srgbClr val="DBEEF4"/>
                </a:gs>
              </a:gsLst>
              <a:path path="rect">
                <a:fillToRect l="50000" t="50000" r="50000" b="50000"/>
              </a:path>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'Por estrato'!$D$4:$I$4</c:f>
              <c:numCache/>
            </c:numRef>
          </c:cat>
          <c:val>
            <c:numRef>
              <c:f>'Por estrato'!$D$6:$I$6</c:f>
              <c:numCache/>
            </c:numRef>
          </c:val>
        </c:ser>
        <c:ser>
          <c:idx val="0"/>
          <c:order val="1"/>
          <c:tx>
            <c:v>Monto real</c:v>
          </c:tx>
          <c:spPr>
            <a:gradFill rotWithShape="1">
              <a:gsLst>
                <a:gs pos="50000">
                  <a:srgbClr val="CCC1DA"/>
                </a:gs>
                <a:gs pos="50000">
                  <a:srgbClr val="E6E0EC"/>
                </a:gs>
                <a:gs pos="100000">
                  <a:srgbClr val="E6E0EC"/>
                </a:gs>
              </a:gsLst>
              <a:path path="rect">
                <a:fillToRect l="50000" t="50000" r="50000" b="50000"/>
              </a:path>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'Por estrato'!$D$4:$I$4</c:f>
              <c:numCache/>
            </c:numRef>
          </c:cat>
          <c:val>
            <c:numRef>
              <c:f>'Por estrato'!$D$7:$I$7</c:f>
              <c:numCache/>
            </c:numRef>
          </c:val>
        </c:ser>
        <c:axId val="4477321"/>
        <c:axId val="40295890"/>
      </c:barChart>
      <c:catAx>
        <c:axId val="4477321"/>
        <c:scaling>
          <c:orientation val="minMax"/>
        </c:scaling>
        <c:axPos val="b"/>
        <c:title>
          <c:tx>
            <c:rich>
              <a:bodyPr vert="horz" rot="0" anchor="ctr"/>
              <a:lstStyle/>
              <a:p>
                <a:pPr algn="ctr">
                  <a:defRPr/>
                </a:pPr>
                <a:r>
                  <a:rPr lang="en-US" cap="none" sz="800" b="0" i="0" u="none" baseline="0">
                    <a:solidFill>
                      <a:srgbClr val="000000"/>
                    </a:solidFill>
                  </a:rPr>
                  <a:t>Estrato</a:t>
                </a:r>
              </a:p>
            </c:rich>
          </c:tx>
          <c:layout>
            <c:manualLayout>
              <c:xMode val="factor"/>
              <c:yMode val="factor"/>
              <c:x val="0.004"/>
              <c:y val="-0.00325"/>
            </c:manualLayout>
          </c:layout>
          <c:overlay val="0"/>
          <c:spPr>
            <a:noFill/>
            <a:ln>
              <a:noFill/>
            </a:ln>
          </c:spPr>
        </c:title>
        <c:delete val="0"/>
        <c:numFmt formatCode="General" sourceLinked="1"/>
        <c:majorTickMark val="none"/>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40295890"/>
        <c:crosses val="autoZero"/>
        <c:auto val="1"/>
        <c:lblOffset val="100"/>
        <c:tickLblSkip val="1"/>
        <c:noMultiLvlLbl val="0"/>
      </c:catAx>
      <c:valAx>
        <c:axId val="40295890"/>
        <c:scaling>
          <c:orientation val="minMax"/>
        </c:scaling>
        <c:axPos val="l"/>
        <c:title>
          <c:tx>
            <c:rich>
              <a:bodyPr vert="horz" rot="-5400000" anchor="ctr"/>
              <a:lstStyle/>
              <a:p>
                <a:pPr algn="ctr">
                  <a:defRPr/>
                </a:pPr>
                <a:r>
                  <a:rPr lang="en-US" cap="none" sz="800" b="0" i="0" u="none" baseline="0">
                    <a:solidFill>
                      <a:srgbClr val="000000"/>
                    </a:solidFill>
                  </a:rPr>
                  <a:t>Monto en millones de colones</a:t>
                </a:r>
              </a:p>
            </c:rich>
          </c:tx>
          <c:layout>
            <c:manualLayout>
              <c:xMode val="factor"/>
              <c:yMode val="factor"/>
              <c:x val="-0.01075"/>
              <c:y val="0.0062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4477321"/>
        <c:crossesAt val="1"/>
        <c:crossBetween val="between"/>
        <c:dispUnits/>
      </c:valAx>
      <c:spPr>
        <a:solidFill>
          <a:srgbClr val="FFFFFF"/>
        </a:solidFill>
        <a:ln w="3175">
          <a:noFill/>
        </a:ln>
      </c:spPr>
    </c:plotArea>
    <c:legend>
      <c:legendPos val="r"/>
      <c:layout>
        <c:manualLayout>
          <c:xMode val="edge"/>
          <c:yMode val="edge"/>
          <c:x val="0.75425"/>
          <c:y val="0.31675"/>
          <c:w val="0.17325"/>
          <c:h val="0.138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Monto nominal y real (base 1995=100) de BFV pagados por modalidad de presupuesto, durante la Administración Chinchilla Miranda, del 8-5-2010 al  7-5-2014.</a:t>
            </a:r>
          </a:p>
        </c:rich>
      </c:tx>
      <c:layout>
        <c:manualLayout>
          <c:xMode val="factor"/>
          <c:yMode val="factor"/>
          <c:x val="0.01125"/>
          <c:y val="0.01375"/>
        </c:manualLayout>
      </c:layout>
      <c:spPr>
        <a:noFill/>
        <a:ln>
          <a:noFill/>
        </a:ln>
      </c:spPr>
    </c:title>
    <c:plotArea>
      <c:layout>
        <c:manualLayout>
          <c:xMode val="edge"/>
          <c:yMode val="edge"/>
          <c:x val="0.08125"/>
          <c:y val="0.20525"/>
          <c:w val="0.913"/>
          <c:h val="0.7805"/>
        </c:manualLayout>
      </c:layout>
      <c:barChart>
        <c:barDir val="col"/>
        <c:grouping val="clustered"/>
        <c:varyColors val="0"/>
        <c:ser>
          <c:idx val="1"/>
          <c:order val="0"/>
          <c:tx>
            <c:v>Monto nominal</c:v>
          </c:tx>
          <c:spPr>
            <a:gradFill rotWithShape="1">
              <a:gsLst>
                <a:gs pos="0">
                  <a:srgbClr val="C4BD97"/>
                </a:gs>
                <a:gs pos="100000">
                  <a:srgbClr val="FFFFFF"/>
                </a:gs>
              </a:gsLst>
              <a:lin ang="27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'Por Modalidad de presupuesto'!$D$4:$I$4</c:f>
              <c:strCache/>
            </c:strRef>
          </c:cat>
          <c:val>
            <c:numRef>
              <c:f>'Por Modalidad de presupuesto'!$D$6:$I$6</c:f>
              <c:numCache/>
            </c:numRef>
          </c:val>
        </c:ser>
        <c:ser>
          <c:idx val="0"/>
          <c:order val="1"/>
          <c:tx>
            <c:v>Monto real</c:v>
          </c:tx>
          <c:spPr>
            <a:gradFill rotWithShape="1">
              <a:gsLst>
                <a:gs pos="0">
                  <a:srgbClr val="93CDDD"/>
                </a:gs>
                <a:gs pos="100000">
                  <a:srgbClr val="DBEEF4"/>
                </a:gs>
              </a:gsLst>
              <a:path path="rect">
                <a:fillToRect l="50000" t="50000" r="50000" b="50000"/>
              </a:path>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'Por Modalidad de presupuesto'!$D$4:$I$4</c:f>
              <c:strCache/>
            </c:strRef>
          </c:cat>
          <c:val>
            <c:numRef>
              <c:f>'Por Modalidad de presupuesto'!$D$7:$I$7</c:f>
              <c:numCache/>
            </c:numRef>
          </c:val>
        </c:ser>
        <c:axId val="27118691"/>
        <c:axId val="42741628"/>
      </c:barChart>
      <c:catAx>
        <c:axId val="27118691"/>
        <c:scaling>
          <c:orientation val="minMax"/>
        </c:scaling>
        <c:axPos val="b"/>
        <c:title>
          <c:tx>
            <c:rich>
              <a:bodyPr vert="horz" rot="0" anchor="ctr"/>
              <a:lstStyle/>
              <a:p>
                <a:pPr algn="ctr">
                  <a:defRPr/>
                </a:pPr>
                <a:r>
                  <a:rPr lang="en-US" cap="none" sz="800" b="0" i="0" u="none" baseline="0">
                    <a:solidFill>
                      <a:srgbClr val="000000"/>
                    </a:solidFill>
                  </a:rPr>
                  <a:t>Modalidad de presupuesto</a:t>
                </a:r>
              </a:p>
            </c:rich>
          </c:tx>
          <c:layout>
            <c:manualLayout>
              <c:xMode val="factor"/>
              <c:yMode val="factor"/>
              <c:x val="0.02125"/>
              <c:y val="0.0355"/>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2700000"/>
          <a:lstStyle/>
          <a:p>
            <a:pPr>
              <a:defRPr lang="en-US" cap="none" sz="600" b="0" i="0" u="none" baseline="0">
                <a:solidFill>
                  <a:srgbClr val="000000"/>
                </a:solidFill>
              </a:defRPr>
            </a:pPr>
          </a:p>
        </c:txPr>
        <c:crossAx val="42741628"/>
        <c:crosses val="autoZero"/>
        <c:auto val="1"/>
        <c:lblOffset val="100"/>
        <c:tickLblSkip val="1"/>
        <c:noMultiLvlLbl val="0"/>
      </c:catAx>
      <c:valAx>
        <c:axId val="42741628"/>
        <c:scaling>
          <c:orientation val="minMax"/>
        </c:scaling>
        <c:axPos val="l"/>
        <c:title>
          <c:tx>
            <c:rich>
              <a:bodyPr vert="horz" rot="-5400000" anchor="ctr"/>
              <a:lstStyle/>
              <a:p>
                <a:pPr algn="ctr">
                  <a:defRPr/>
                </a:pPr>
                <a:r>
                  <a:rPr lang="en-US" cap="none" sz="800" b="0" i="0" u="none" baseline="0">
                    <a:solidFill>
                      <a:srgbClr val="000000"/>
                    </a:solidFill>
                  </a:rPr>
                  <a:t>Monto en millones de colones </a:t>
                </a:r>
              </a:p>
            </c:rich>
          </c:tx>
          <c:layout>
            <c:manualLayout>
              <c:xMode val="factor"/>
              <c:yMode val="factor"/>
              <c:x val="-0.0045"/>
              <c:y val="0.02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27118691"/>
        <c:crossesAt val="1"/>
        <c:crossBetween val="between"/>
        <c:dispUnits/>
      </c:valAx>
      <c:spPr>
        <a:noFill/>
        <a:ln w="12700">
          <a:solidFill>
            <a:srgbClr val="808080"/>
          </a:solidFill>
        </a:ln>
      </c:spPr>
    </c:plotArea>
    <c:legend>
      <c:legendPos val="r"/>
      <c:layout>
        <c:manualLayout>
          <c:xMode val="edge"/>
          <c:yMode val="edge"/>
          <c:x val="0.20375"/>
          <c:y val="0.2735"/>
          <c:w val="0.1815"/>
          <c:h val="0.141"/>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Monto nominal y real (base 1995=100) de BFV pagados por propósito, durante la Administración Chinchilla Miranda, del 8-5-2010 al  7-5-2014.</a:t>
            </a:r>
          </a:p>
        </c:rich>
      </c:tx>
      <c:layout>
        <c:manualLayout>
          <c:xMode val="factor"/>
          <c:yMode val="factor"/>
          <c:x val="0"/>
          <c:y val="-0.0105"/>
        </c:manualLayout>
      </c:layout>
      <c:spPr>
        <a:noFill/>
        <a:ln>
          <a:noFill/>
        </a:ln>
      </c:spPr>
    </c:title>
    <c:plotArea>
      <c:layout>
        <c:manualLayout>
          <c:xMode val="edge"/>
          <c:yMode val="edge"/>
          <c:x val="0.064"/>
          <c:y val="0.12325"/>
          <c:w val="0.85575"/>
          <c:h val="0.81"/>
        </c:manualLayout>
      </c:layout>
      <c:barChart>
        <c:barDir val="col"/>
        <c:grouping val="clustered"/>
        <c:varyColors val="0"/>
        <c:ser>
          <c:idx val="1"/>
          <c:order val="0"/>
          <c:tx>
            <c:v>Monto nominal</c:v>
          </c:tx>
          <c:spPr>
            <a:gradFill rotWithShape="1">
              <a:gsLst>
                <a:gs pos="50000">
                  <a:srgbClr val="FCD5B5"/>
                </a:gs>
                <a:gs pos="50000">
                  <a:srgbClr val="E6E0EC"/>
                </a:gs>
                <a:gs pos="100000">
                  <a:srgbClr val="E6E0EC"/>
                </a:gs>
              </a:gsLst>
              <a:path path="rect">
                <a:fillToRect l="50000" t="50000" r="50000" b="50000"/>
              </a:path>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'Por propósito'!$D$4:$H$4</c:f>
              <c:strCache/>
            </c:strRef>
          </c:cat>
          <c:val>
            <c:numRef>
              <c:f>'Por propósito'!$D$6:$H$6</c:f>
              <c:numCache/>
            </c:numRef>
          </c:val>
        </c:ser>
        <c:ser>
          <c:idx val="0"/>
          <c:order val="1"/>
          <c:tx>
            <c:v>Monto real</c:v>
          </c:tx>
          <c:spPr>
            <a:gradFill rotWithShape="1">
              <a:gsLst>
                <a:gs pos="50000">
                  <a:srgbClr val="EBF1DE"/>
                </a:gs>
                <a:gs pos="50000">
                  <a:srgbClr val="C3D69B"/>
                </a:gs>
                <a:gs pos="100000">
                  <a:srgbClr val="C3D69B"/>
                </a:gs>
              </a:gsLst>
              <a:path path="rect">
                <a:fillToRect l="50000" t="50000" r="50000" b="50000"/>
              </a:path>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'Por propósito'!$D$4:$H$4</c:f>
              <c:strCache/>
            </c:strRef>
          </c:cat>
          <c:val>
            <c:numRef>
              <c:f>'Por propósito'!$D$7:$H$7</c:f>
              <c:numCache/>
            </c:numRef>
          </c:val>
        </c:ser>
        <c:axId val="49130333"/>
        <c:axId val="39519814"/>
      </c:barChart>
      <c:catAx>
        <c:axId val="49130333"/>
        <c:scaling>
          <c:orientation val="minMax"/>
        </c:scaling>
        <c:axPos val="b"/>
        <c:title>
          <c:tx>
            <c:rich>
              <a:bodyPr vert="horz" rot="0" anchor="ctr"/>
              <a:lstStyle/>
              <a:p>
                <a:pPr algn="ctr">
                  <a:defRPr/>
                </a:pPr>
                <a:r>
                  <a:rPr lang="en-US" cap="none" sz="800" b="0" i="0" u="none" baseline="0">
                    <a:solidFill>
                      <a:srgbClr val="000000"/>
                    </a:solidFill>
                  </a:rPr>
                  <a:t>Propósito</a:t>
                </a:r>
              </a:p>
            </c:rich>
          </c:tx>
          <c:layout>
            <c:manualLayout>
              <c:xMode val="factor"/>
              <c:yMode val="factor"/>
              <c:x val="0"/>
              <c:y val="-0.0025"/>
            </c:manualLayout>
          </c:layout>
          <c:overlay val="0"/>
          <c:spPr>
            <a:noFill/>
            <a:ln>
              <a:noFill/>
            </a:ln>
          </c:spPr>
        </c:title>
        <c:delete val="0"/>
        <c:numFmt formatCode="General" sourceLinked="1"/>
        <c:majorTickMark val="none"/>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39519814"/>
        <c:crosses val="autoZero"/>
        <c:auto val="1"/>
        <c:lblOffset val="100"/>
        <c:tickLblSkip val="1"/>
        <c:noMultiLvlLbl val="0"/>
      </c:catAx>
      <c:valAx>
        <c:axId val="39519814"/>
        <c:scaling>
          <c:orientation val="minMax"/>
        </c:scaling>
        <c:axPos val="l"/>
        <c:title>
          <c:tx>
            <c:rich>
              <a:bodyPr vert="horz" rot="-5400000" anchor="ctr"/>
              <a:lstStyle/>
              <a:p>
                <a:pPr algn="ctr">
                  <a:defRPr/>
                </a:pPr>
                <a:r>
                  <a:rPr lang="en-US" cap="none" sz="800" b="0" i="0" u="none" baseline="0">
                    <a:solidFill>
                      <a:srgbClr val="000000"/>
                    </a:solidFill>
                  </a:rPr>
                  <a:t>Monto en millones de colones</a:t>
                </a:r>
              </a:p>
            </c:rich>
          </c:tx>
          <c:layout>
            <c:manualLayout>
              <c:xMode val="factor"/>
              <c:yMode val="factor"/>
              <c:x val="-0.006"/>
              <c:y val="0.0092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49130333"/>
        <c:crossesAt val="1"/>
        <c:crossBetween val="between"/>
        <c:dispUnits/>
      </c:valAx>
      <c:spPr>
        <a:solidFill>
          <a:srgbClr val="FFFFFF"/>
        </a:solidFill>
        <a:ln w="3175">
          <a:noFill/>
        </a:ln>
      </c:spPr>
    </c:plotArea>
    <c:legend>
      <c:legendPos val="r"/>
      <c:layout>
        <c:manualLayout>
          <c:xMode val="edge"/>
          <c:yMode val="edge"/>
          <c:x val="0.8185"/>
          <c:y val="0.31575"/>
          <c:w val="0.16625"/>
          <c:h val="0.136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438150</xdr:colOff>
      <xdr:row>1</xdr:row>
      <xdr:rowOff>428625</xdr:rowOff>
    </xdr:from>
    <xdr:to>
      <xdr:col>7</xdr:col>
      <xdr:colOff>400050</xdr:colOff>
      <xdr:row>1</xdr:row>
      <xdr:rowOff>1362075</xdr:rowOff>
    </xdr:to>
    <xdr:pic>
      <xdr:nvPicPr>
        <xdr:cNvPr id="1" name="2 Imagen" descr="Logo_nuevo_MIVAH.JPG"/>
        <xdr:cNvPicPr preferRelativeResize="1">
          <a:picLocks noChangeAspect="1"/>
        </xdr:cNvPicPr>
      </xdr:nvPicPr>
      <xdr:blipFill>
        <a:blip r:embed="rId1"/>
        <a:stretch>
          <a:fillRect/>
        </a:stretch>
      </xdr:blipFill>
      <xdr:spPr>
        <a:xfrm>
          <a:off x="4981575" y="590550"/>
          <a:ext cx="22479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9</xdr:row>
      <xdr:rowOff>142875</xdr:rowOff>
    </xdr:from>
    <xdr:to>
      <xdr:col>5</xdr:col>
      <xdr:colOff>47625</xdr:colOff>
      <xdr:row>28</xdr:row>
      <xdr:rowOff>9525</xdr:rowOff>
    </xdr:to>
    <xdr:graphicFrame>
      <xdr:nvGraphicFramePr>
        <xdr:cNvPr id="1" name="Chart 1"/>
        <xdr:cNvGraphicFramePr/>
      </xdr:nvGraphicFramePr>
      <xdr:xfrm>
        <a:off x="685800" y="2562225"/>
        <a:ext cx="4495800" cy="2943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17</xdr:row>
      <xdr:rowOff>47625</xdr:rowOff>
    </xdr:from>
    <xdr:to>
      <xdr:col>6</xdr:col>
      <xdr:colOff>781050</xdr:colOff>
      <xdr:row>36</xdr:row>
      <xdr:rowOff>38100</xdr:rowOff>
    </xdr:to>
    <xdr:graphicFrame>
      <xdr:nvGraphicFramePr>
        <xdr:cNvPr id="1" name="Chart 7"/>
        <xdr:cNvGraphicFramePr/>
      </xdr:nvGraphicFramePr>
      <xdr:xfrm>
        <a:off x="2295525" y="4381500"/>
        <a:ext cx="5162550" cy="30670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12</xdr:row>
      <xdr:rowOff>0</xdr:rowOff>
    </xdr:from>
    <xdr:to>
      <xdr:col>10</xdr:col>
      <xdr:colOff>0</xdr:colOff>
      <xdr:row>12</xdr:row>
      <xdr:rowOff>0</xdr:rowOff>
    </xdr:to>
    <xdr:sp>
      <xdr:nvSpPr>
        <xdr:cNvPr id="1" name="Rectangle 3"/>
        <xdr:cNvSpPr>
          <a:spLocks/>
        </xdr:cNvSpPr>
      </xdr:nvSpPr>
      <xdr:spPr>
        <a:xfrm>
          <a:off x="7362825" y="24669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Fuente: Cuadro 10</a:t>
          </a:r>
        </a:p>
      </xdr:txBody>
    </xdr:sp>
    <xdr:clientData/>
  </xdr:twoCellAnchor>
  <xdr:twoCellAnchor>
    <xdr:from>
      <xdr:col>1</xdr:col>
      <xdr:colOff>828675</xdr:colOff>
      <xdr:row>21</xdr:row>
      <xdr:rowOff>104775</xdr:rowOff>
    </xdr:from>
    <xdr:to>
      <xdr:col>9</xdr:col>
      <xdr:colOff>161925</xdr:colOff>
      <xdr:row>39</xdr:row>
      <xdr:rowOff>104775</xdr:rowOff>
    </xdr:to>
    <xdr:graphicFrame>
      <xdr:nvGraphicFramePr>
        <xdr:cNvPr id="2" name="3 Gráfico"/>
        <xdr:cNvGraphicFramePr/>
      </xdr:nvGraphicFramePr>
      <xdr:xfrm>
        <a:off x="1323975" y="4724400"/>
        <a:ext cx="5353050" cy="29146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21</xdr:row>
      <xdr:rowOff>133350</xdr:rowOff>
    </xdr:from>
    <xdr:to>
      <xdr:col>7</xdr:col>
      <xdr:colOff>9525</xdr:colOff>
      <xdr:row>38</xdr:row>
      <xdr:rowOff>142875</xdr:rowOff>
    </xdr:to>
    <xdr:graphicFrame>
      <xdr:nvGraphicFramePr>
        <xdr:cNvPr id="1" name="2 Gráfico"/>
        <xdr:cNvGraphicFramePr/>
      </xdr:nvGraphicFramePr>
      <xdr:xfrm>
        <a:off x="2219325" y="4562475"/>
        <a:ext cx="5086350" cy="2762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1162050</xdr:colOff>
      <xdr:row>21</xdr:row>
      <xdr:rowOff>57150</xdr:rowOff>
    </xdr:from>
    <xdr:to>
      <xdr:col>8</xdr:col>
      <xdr:colOff>57150</xdr:colOff>
      <xdr:row>43</xdr:row>
      <xdr:rowOff>28575</xdr:rowOff>
    </xdr:to>
    <xdr:graphicFrame>
      <xdr:nvGraphicFramePr>
        <xdr:cNvPr id="1" name="Chart 7"/>
        <xdr:cNvGraphicFramePr/>
      </xdr:nvGraphicFramePr>
      <xdr:xfrm>
        <a:off x="1571625" y="6343650"/>
        <a:ext cx="6019800" cy="35337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828675</xdr:colOff>
      <xdr:row>21</xdr:row>
      <xdr:rowOff>152400</xdr:rowOff>
    </xdr:from>
    <xdr:to>
      <xdr:col>7</xdr:col>
      <xdr:colOff>238125</xdr:colOff>
      <xdr:row>39</xdr:row>
      <xdr:rowOff>38100</xdr:rowOff>
    </xdr:to>
    <xdr:graphicFrame>
      <xdr:nvGraphicFramePr>
        <xdr:cNvPr id="1" name="2 Gráfico"/>
        <xdr:cNvGraphicFramePr/>
      </xdr:nvGraphicFramePr>
      <xdr:xfrm>
        <a:off x="1343025" y="5972175"/>
        <a:ext cx="5124450" cy="2800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CCCFF"/>
  </sheetPr>
  <dimension ref="D3:J31"/>
  <sheetViews>
    <sheetView showGridLines="0" tabSelected="1" zoomScalePageLayoutView="0" workbookViewId="0" topLeftCell="A1">
      <selection activeCell="D54" sqref="D54"/>
    </sheetView>
  </sheetViews>
  <sheetFormatPr defaultColWidth="11.421875" defaultRowHeight="12.75"/>
  <cols>
    <col min="1" max="1" width="2.7109375" style="0" customWidth="1"/>
    <col min="3" max="3" width="24.8515625" style="0" customWidth="1"/>
    <col min="4" max="4" width="29.140625" style="0" customWidth="1"/>
    <col min="10" max="10" width="12.00390625" style="0" customWidth="1"/>
  </cols>
  <sheetData>
    <row r="2" ht="143.25" customHeight="1"/>
    <row r="3" spans="4:10" ht="12.75">
      <c r="D3" s="174" t="s">
        <v>142</v>
      </c>
      <c r="E3" s="175"/>
      <c r="F3" s="175"/>
      <c r="G3" s="175"/>
      <c r="H3" s="175"/>
      <c r="I3" s="175"/>
      <c r="J3" s="176"/>
    </row>
    <row r="4" spans="4:10" ht="9" customHeight="1">
      <c r="D4" s="177"/>
      <c r="E4" s="178"/>
      <c r="F4" s="178"/>
      <c r="G4" s="178"/>
      <c r="H4" s="178"/>
      <c r="I4" s="178"/>
      <c r="J4" s="179"/>
    </row>
    <row r="5" spans="4:10" ht="3" customHeight="1">
      <c r="D5" s="182"/>
      <c r="E5" s="183"/>
      <c r="F5" s="183"/>
      <c r="G5" s="183"/>
      <c r="H5" s="183"/>
      <c r="I5" s="183"/>
      <c r="J5" s="184"/>
    </row>
    <row r="6" spans="4:10" ht="18" customHeight="1">
      <c r="D6" s="168" t="s">
        <v>124</v>
      </c>
      <c r="E6" s="169"/>
      <c r="F6" s="169"/>
      <c r="G6" s="169"/>
      <c r="H6" s="169"/>
      <c r="I6" s="169"/>
      <c r="J6" s="170"/>
    </row>
    <row r="7" spans="4:10" ht="3" customHeight="1">
      <c r="D7" s="171"/>
      <c r="E7" s="172"/>
      <c r="F7" s="172"/>
      <c r="G7" s="172"/>
      <c r="H7" s="172"/>
      <c r="I7" s="172"/>
      <c r="J7" s="173"/>
    </row>
    <row r="8" spans="4:10" ht="12.75">
      <c r="D8" s="41" t="s">
        <v>116</v>
      </c>
      <c r="E8" s="180" t="s">
        <v>172</v>
      </c>
      <c r="F8" s="180"/>
      <c r="G8" s="180"/>
      <c r="H8" s="180"/>
      <c r="I8" s="180"/>
      <c r="J8" s="181"/>
    </row>
    <row r="9" spans="4:10" ht="12.75">
      <c r="D9" s="42"/>
      <c r="E9" s="45"/>
      <c r="F9" s="45"/>
      <c r="G9" s="45"/>
      <c r="H9" s="45"/>
      <c r="I9" s="45"/>
      <c r="J9" s="46"/>
    </row>
    <row r="10" spans="4:10" ht="12.75">
      <c r="D10" s="42" t="s">
        <v>118</v>
      </c>
      <c r="E10" s="166" t="s">
        <v>119</v>
      </c>
      <c r="F10" s="166"/>
      <c r="G10" s="166"/>
      <c r="H10" s="166"/>
      <c r="I10" s="166"/>
      <c r="J10" s="167"/>
    </row>
    <row r="11" spans="4:10" ht="12.75">
      <c r="D11" s="42"/>
      <c r="E11" s="45"/>
      <c r="F11" s="45"/>
      <c r="G11" s="45"/>
      <c r="H11" s="45"/>
      <c r="I11" s="45"/>
      <c r="J11" s="46"/>
    </row>
    <row r="12" spans="4:10" ht="12.75">
      <c r="D12" s="42" t="s">
        <v>120</v>
      </c>
      <c r="E12" s="166" t="s">
        <v>121</v>
      </c>
      <c r="F12" s="166"/>
      <c r="G12" s="166"/>
      <c r="H12" s="166"/>
      <c r="I12" s="166"/>
      <c r="J12" s="167"/>
    </row>
    <row r="13" spans="4:10" ht="12.75">
      <c r="D13" s="133"/>
      <c r="E13" s="45"/>
      <c r="F13" s="45"/>
      <c r="G13" s="45"/>
      <c r="H13" s="45"/>
      <c r="I13" s="45"/>
      <c r="J13" s="46"/>
    </row>
    <row r="14" spans="4:10" ht="12.75">
      <c r="D14" s="133" t="s">
        <v>146</v>
      </c>
      <c r="E14" s="166" t="s">
        <v>147</v>
      </c>
      <c r="F14" s="166"/>
      <c r="G14" s="166"/>
      <c r="H14" s="166"/>
      <c r="I14" s="166"/>
      <c r="J14" s="167"/>
    </row>
    <row r="15" spans="4:10" ht="12.75">
      <c r="D15" s="133"/>
      <c r="E15" s="45"/>
      <c r="F15" s="45"/>
      <c r="G15" s="45"/>
      <c r="H15" s="45"/>
      <c r="I15" s="45"/>
      <c r="J15" s="46"/>
    </row>
    <row r="16" spans="4:10" ht="12.75">
      <c r="D16" s="133" t="s">
        <v>159</v>
      </c>
      <c r="E16" s="166" t="s">
        <v>160</v>
      </c>
      <c r="F16" s="166"/>
      <c r="G16" s="166"/>
      <c r="H16" s="166"/>
      <c r="I16" s="166"/>
      <c r="J16" s="167"/>
    </row>
    <row r="17" spans="4:10" ht="12.75">
      <c r="D17" s="133"/>
      <c r="E17" s="45"/>
      <c r="F17" s="45"/>
      <c r="G17" s="45"/>
      <c r="H17" s="45"/>
      <c r="I17" s="45"/>
      <c r="J17" s="46"/>
    </row>
    <row r="18" spans="4:10" ht="12.75">
      <c r="D18" s="133" t="s">
        <v>117</v>
      </c>
      <c r="E18" s="166" t="s">
        <v>122</v>
      </c>
      <c r="F18" s="166"/>
      <c r="G18" s="166"/>
      <c r="H18" s="166"/>
      <c r="I18" s="166"/>
      <c r="J18" s="167"/>
    </row>
    <row r="19" spans="4:10" ht="12.75">
      <c r="D19" s="133"/>
      <c r="E19" s="45"/>
      <c r="F19" s="45"/>
      <c r="G19" s="45"/>
      <c r="H19" s="45"/>
      <c r="I19" s="45"/>
      <c r="J19" s="46"/>
    </row>
    <row r="20" spans="4:10" ht="12.75">
      <c r="D20" s="133" t="s">
        <v>152</v>
      </c>
      <c r="E20" s="166" t="s">
        <v>153</v>
      </c>
      <c r="F20" s="166"/>
      <c r="G20" s="166"/>
      <c r="H20" s="166"/>
      <c r="I20" s="166"/>
      <c r="J20" s="167"/>
    </row>
    <row r="21" spans="4:10" ht="12.75">
      <c r="D21" s="133"/>
      <c r="E21" s="45"/>
      <c r="F21" s="45"/>
      <c r="G21" s="45"/>
      <c r="H21" s="45"/>
      <c r="I21" s="45"/>
      <c r="J21" s="46"/>
    </row>
    <row r="22" spans="4:10" ht="12.75">
      <c r="D22" s="133" t="s">
        <v>125</v>
      </c>
      <c r="E22" s="166" t="s">
        <v>164</v>
      </c>
      <c r="F22" s="166"/>
      <c r="G22" s="166"/>
      <c r="H22" s="166"/>
      <c r="I22" s="166"/>
      <c r="J22" s="167"/>
    </row>
    <row r="23" spans="4:10" ht="12.75">
      <c r="D23" s="133"/>
      <c r="E23" s="45"/>
      <c r="F23" s="45"/>
      <c r="G23" s="45"/>
      <c r="H23" s="45"/>
      <c r="I23" s="45"/>
      <c r="J23" s="46"/>
    </row>
    <row r="24" spans="4:10" ht="12.75">
      <c r="D24" s="133" t="s">
        <v>157</v>
      </c>
      <c r="E24" s="166" t="s">
        <v>158</v>
      </c>
      <c r="F24" s="166"/>
      <c r="G24" s="166"/>
      <c r="H24" s="166"/>
      <c r="I24" s="166"/>
      <c r="J24" s="167"/>
    </row>
    <row r="25" spans="4:10" ht="12.75">
      <c r="D25" s="133"/>
      <c r="E25" s="45"/>
      <c r="F25" s="45"/>
      <c r="G25" s="45"/>
      <c r="H25" s="45"/>
      <c r="I25" s="45"/>
      <c r="J25" s="46"/>
    </row>
    <row r="26" spans="4:10" ht="12.75">
      <c r="D26" s="133" t="s">
        <v>150</v>
      </c>
      <c r="E26" s="166" t="s">
        <v>151</v>
      </c>
      <c r="F26" s="166"/>
      <c r="G26" s="166"/>
      <c r="H26" s="166"/>
      <c r="I26" s="166"/>
      <c r="J26" s="167"/>
    </row>
    <row r="27" spans="4:10" ht="12.75">
      <c r="D27" s="133"/>
      <c r="E27" s="45"/>
      <c r="F27" s="45"/>
      <c r="G27" s="45"/>
      <c r="H27" s="45"/>
      <c r="I27" s="45"/>
      <c r="J27" s="46"/>
    </row>
    <row r="28" spans="4:10" ht="12.75">
      <c r="D28" s="133" t="s">
        <v>148</v>
      </c>
      <c r="E28" s="166" t="s">
        <v>149</v>
      </c>
      <c r="F28" s="166"/>
      <c r="G28" s="166"/>
      <c r="H28" s="166"/>
      <c r="I28" s="166"/>
      <c r="J28" s="167"/>
    </row>
    <row r="29" spans="4:10" ht="12.75">
      <c r="D29" s="133"/>
      <c r="E29" s="45"/>
      <c r="F29" s="45"/>
      <c r="G29" s="45"/>
      <c r="H29" s="45"/>
      <c r="I29" s="45"/>
      <c r="J29" s="46"/>
    </row>
    <row r="30" spans="4:10" ht="12.75">
      <c r="D30" s="133" t="s">
        <v>140</v>
      </c>
      <c r="E30" s="166" t="s">
        <v>141</v>
      </c>
      <c r="F30" s="166"/>
      <c r="G30" s="166"/>
      <c r="H30" s="166"/>
      <c r="I30" s="166"/>
      <c r="J30" s="167"/>
    </row>
    <row r="31" spans="4:10" ht="12.75">
      <c r="D31" s="43"/>
      <c r="E31" s="16"/>
      <c r="F31" s="16"/>
      <c r="G31" s="16"/>
      <c r="H31" s="16"/>
      <c r="I31" s="16"/>
      <c r="J31" s="17"/>
    </row>
  </sheetData>
  <sheetProtection/>
  <mergeCells count="16">
    <mergeCell ref="E10:J10"/>
    <mergeCell ref="E12:J12"/>
    <mergeCell ref="E30:J30"/>
    <mergeCell ref="D6:J6"/>
    <mergeCell ref="D7:J7"/>
    <mergeCell ref="D3:J4"/>
    <mergeCell ref="E8:J8"/>
    <mergeCell ref="D5:J5"/>
    <mergeCell ref="E14:J14"/>
    <mergeCell ref="E28:J28"/>
    <mergeCell ref="E26:J26"/>
    <mergeCell ref="E20:J20"/>
    <mergeCell ref="E24:J24"/>
    <mergeCell ref="E16:J16"/>
    <mergeCell ref="E22:J22"/>
    <mergeCell ref="E18:J18"/>
  </mergeCells>
  <printOptions horizontalCentered="1" verticalCentered="1"/>
  <pageMargins left="0.7086614173228347" right="0.7086614173228347" top="0.7480314960629921" bottom="0.7480314960629921" header="0.31496062992125984" footer="0.31496062992125984"/>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B2:O27"/>
  <sheetViews>
    <sheetView showGridLines="0" zoomScalePageLayoutView="0" workbookViewId="0" topLeftCell="A1">
      <selection activeCell="B19" sqref="B19:J19"/>
    </sheetView>
  </sheetViews>
  <sheetFormatPr defaultColWidth="9.140625" defaultRowHeight="12.75"/>
  <cols>
    <col min="1" max="1" width="7.421875" style="6" customWidth="1"/>
    <col min="2" max="2" width="17.8515625" style="6" customWidth="1"/>
    <col min="3" max="3" width="10.28125" style="6" customWidth="1"/>
    <col min="4" max="4" width="11.421875" style="6" customWidth="1"/>
    <col min="5" max="5" width="10.7109375" style="6" customWidth="1"/>
    <col min="6" max="6" width="11.421875" style="6" customWidth="1"/>
    <col min="7" max="8" width="9.28125" style="6" customWidth="1"/>
    <col min="9" max="9" width="10.00390625" style="6" customWidth="1"/>
    <col min="10" max="10" width="12.7109375" style="6" customWidth="1"/>
    <col min="11" max="11" width="10.00390625" style="6" customWidth="1"/>
    <col min="12" max="12" width="14.00390625" style="6" bestFit="1" customWidth="1"/>
    <col min="13" max="14" width="9.28125" style="6" bestFit="1" customWidth="1"/>
    <col min="15" max="15" width="8.57421875" style="6" bestFit="1" customWidth="1"/>
    <col min="16" max="16" width="11.28125" style="6" bestFit="1" customWidth="1"/>
    <col min="17" max="18" width="8.28125" style="6" bestFit="1" customWidth="1"/>
    <col min="19" max="19" width="11.00390625" style="6" bestFit="1" customWidth="1"/>
    <col min="20" max="20" width="12.00390625" style="6" bestFit="1" customWidth="1"/>
    <col min="21" max="23" width="9.140625" style="6" customWidth="1"/>
    <col min="24" max="24" width="10.140625" style="6" customWidth="1"/>
    <col min="25" max="25" width="12.421875" style="6" customWidth="1"/>
    <col min="26" max="26" width="12.57421875" style="6" customWidth="1"/>
    <col min="27" max="27" width="10.00390625" style="6" customWidth="1"/>
    <col min="28" max="28" width="10.140625" style="6" customWidth="1"/>
    <col min="29" max="16384" width="9.140625" style="6" customWidth="1"/>
  </cols>
  <sheetData>
    <row r="2" spans="2:10" ht="14.25" customHeight="1">
      <c r="B2" s="203" t="s">
        <v>182</v>
      </c>
      <c r="C2" s="203"/>
      <c r="D2" s="203"/>
      <c r="E2" s="203"/>
      <c r="F2" s="203"/>
      <c r="G2" s="203"/>
      <c r="H2" s="203"/>
      <c r="I2" s="203"/>
      <c r="J2" s="203"/>
    </row>
    <row r="3" spans="2:10" ht="15" customHeight="1">
      <c r="B3" s="204"/>
      <c r="C3" s="204" t="s">
        <v>84</v>
      </c>
      <c r="D3" s="206" t="s">
        <v>106</v>
      </c>
      <c r="E3" s="206"/>
      <c r="F3" s="206"/>
      <c r="G3" s="206"/>
      <c r="H3" s="206"/>
      <c r="I3" s="206"/>
      <c r="J3" s="206"/>
    </row>
    <row r="4" spans="2:10" ht="12.75">
      <c r="B4" s="205"/>
      <c r="C4" s="205"/>
      <c r="D4" s="69" t="s">
        <v>100</v>
      </c>
      <c r="E4" s="69" t="s">
        <v>102</v>
      </c>
      <c r="F4" s="69" t="s">
        <v>107</v>
      </c>
      <c r="G4" s="69" t="s">
        <v>53</v>
      </c>
      <c r="H4" s="70" t="s">
        <v>73</v>
      </c>
      <c r="I4" s="70" t="s">
        <v>62</v>
      </c>
      <c r="J4" s="70" t="s">
        <v>13</v>
      </c>
    </row>
    <row r="5" spans="2:10" ht="18.75" customHeight="1">
      <c r="B5" s="71" t="s">
        <v>91</v>
      </c>
      <c r="C5" s="72">
        <f>SUM(D5:J5)</f>
        <v>40473</v>
      </c>
      <c r="D5" s="72">
        <v>8445</v>
      </c>
      <c r="E5" s="72">
        <v>5464</v>
      </c>
      <c r="F5" s="72">
        <v>3967</v>
      </c>
      <c r="G5" s="72">
        <v>1768</v>
      </c>
      <c r="H5" s="72">
        <v>8189</v>
      </c>
      <c r="I5" s="72">
        <v>6130</v>
      </c>
      <c r="J5" s="72">
        <v>6510</v>
      </c>
    </row>
    <row r="6" spans="2:10" ht="28.5" customHeight="1">
      <c r="B6" s="73" t="s">
        <v>127</v>
      </c>
      <c r="C6" s="74">
        <f>SUM(D6:J6)</f>
        <v>281459</v>
      </c>
      <c r="D6" s="74">
        <v>56183</v>
      </c>
      <c r="E6" s="74">
        <v>40572</v>
      </c>
      <c r="F6" s="74">
        <v>29336</v>
      </c>
      <c r="G6" s="74">
        <v>13997</v>
      </c>
      <c r="H6" s="74">
        <v>59150</v>
      </c>
      <c r="I6" s="74">
        <v>43976</v>
      </c>
      <c r="J6" s="74">
        <v>38245</v>
      </c>
    </row>
    <row r="7" spans="2:10" ht="26.25" customHeight="1">
      <c r="B7" s="75" t="s">
        <v>128</v>
      </c>
      <c r="C7" s="76">
        <f>SUM(D7:J7)</f>
        <v>53120.505803529304</v>
      </c>
      <c r="D7" s="76">
        <f>+(D6/529.85)*100</f>
        <v>10603.567047277531</v>
      </c>
      <c r="E7" s="76">
        <f aca="true" t="shared" si="0" ref="E7:J7">+(E6/529.85)*100</f>
        <v>7657.261489100688</v>
      </c>
      <c r="F7" s="76">
        <f t="shared" si="0"/>
        <v>5536.661319241294</v>
      </c>
      <c r="G7" s="76">
        <f t="shared" si="0"/>
        <v>2641.691044635274</v>
      </c>
      <c r="H7" s="76">
        <f t="shared" si="0"/>
        <v>11163.5368500519</v>
      </c>
      <c r="I7" s="76">
        <f t="shared" si="0"/>
        <v>8299.70746437671</v>
      </c>
      <c r="J7" s="76">
        <f t="shared" si="0"/>
        <v>7218.080588845899</v>
      </c>
    </row>
    <row r="8" spans="2:10" ht="12.75">
      <c r="B8" s="201" t="s">
        <v>154</v>
      </c>
      <c r="C8" s="201"/>
      <c r="D8" s="201"/>
      <c r="E8" s="201"/>
      <c r="F8" s="201"/>
      <c r="G8" s="201"/>
      <c r="H8" s="201"/>
      <c r="I8" s="201"/>
      <c r="J8" s="201"/>
    </row>
    <row r="9" spans="2:10" ht="12.75">
      <c r="B9" s="77"/>
      <c r="C9" s="77"/>
      <c r="D9" s="77"/>
      <c r="E9" s="77"/>
      <c r="F9" s="77"/>
      <c r="G9" s="77"/>
      <c r="H9" s="77"/>
      <c r="I9" s="77"/>
      <c r="J9" s="77"/>
    </row>
    <row r="10" spans="2:10" ht="12.75">
      <c r="B10" s="78"/>
      <c r="C10" s="78"/>
      <c r="D10" s="78"/>
      <c r="E10" s="78"/>
      <c r="F10" s="78"/>
      <c r="G10" s="78"/>
      <c r="H10" s="78"/>
      <c r="I10" s="78"/>
      <c r="J10" s="78"/>
    </row>
    <row r="11" spans="2:10" ht="12.75">
      <c r="B11" s="202"/>
      <c r="C11" s="202"/>
      <c r="D11" s="202"/>
      <c r="E11" s="202"/>
      <c r="F11" s="202"/>
      <c r="G11" s="202"/>
      <c r="H11" s="202"/>
      <c r="I11" s="202"/>
      <c r="J11" s="202"/>
    </row>
    <row r="12" spans="2:13" ht="15" customHeight="1">
      <c r="B12" s="203" t="s">
        <v>183</v>
      </c>
      <c r="C12" s="203"/>
      <c r="D12" s="203"/>
      <c r="E12" s="203"/>
      <c r="F12" s="203"/>
      <c r="G12" s="203"/>
      <c r="H12" s="203"/>
      <c r="I12" s="203"/>
      <c r="J12" s="203"/>
      <c r="M12" s="7"/>
    </row>
    <row r="13" spans="2:15" ht="12.75">
      <c r="B13" s="204"/>
      <c r="C13" s="204" t="s">
        <v>84</v>
      </c>
      <c r="D13" s="206" t="s">
        <v>106</v>
      </c>
      <c r="E13" s="206"/>
      <c r="F13" s="206"/>
      <c r="G13" s="206"/>
      <c r="H13" s="206"/>
      <c r="I13" s="206"/>
      <c r="J13" s="206"/>
      <c r="M13" s="8"/>
      <c r="N13" s="8"/>
      <c r="O13" s="11"/>
    </row>
    <row r="14" spans="2:10" ht="12.75">
      <c r="B14" s="210"/>
      <c r="C14" s="210"/>
      <c r="D14" s="79" t="s">
        <v>100</v>
      </c>
      <c r="E14" s="79" t="s">
        <v>102</v>
      </c>
      <c r="F14" s="79" t="s">
        <v>107</v>
      </c>
      <c r="G14" s="79" t="s">
        <v>53</v>
      </c>
      <c r="H14" s="80" t="s">
        <v>73</v>
      </c>
      <c r="I14" s="80" t="s">
        <v>62</v>
      </c>
      <c r="J14" s="80" t="s">
        <v>13</v>
      </c>
    </row>
    <row r="15" spans="2:10" ht="12.75">
      <c r="B15" s="81" t="s">
        <v>91</v>
      </c>
      <c r="C15" s="82">
        <f>SUM(D15:J15)</f>
        <v>1</v>
      </c>
      <c r="D15" s="82">
        <f>+D5/$C$5</f>
        <v>0.20865762360091913</v>
      </c>
      <c r="E15" s="82">
        <f aca="true" t="shared" si="1" ref="E15:J15">+E5/$C$5</f>
        <v>0.13500358263533713</v>
      </c>
      <c r="F15" s="82">
        <f t="shared" si="1"/>
        <v>0.0980159612581227</v>
      </c>
      <c r="G15" s="82">
        <f t="shared" si="1"/>
        <v>0.043683443283176436</v>
      </c>
      <c r="H15" s="82">
        <f t="shared" si="1"/>
        <v>0.20233241914362662</v>
      </c>
      <c r="I15" s="82">
        <f t="shared" si="1"/>
        <v>0.1514589973562622</v>
      </c>
      <c r="J15" s="82">
        <f t="shared" si="1"/>
        <v>0.16084797272255577</v>
      </c>
    </row>
    <row r="16" spans="2:11" ht="12.75">
      <c r="B16" s="81" t="s">
        <v>133</v>
      </c>
      <c r="C16" s="82">
        <f>SUM(D16:J16)</f>
        <v>1</v>
      </c>
      <c r="D16" s="82">
        <f>+D6/$C$6</f>
        <v>0.19961344281049814</v>
      </c>
      <c r="E16" s="82">
        <f aca="true" t="shared" si="2" ref="E16:J16">+E6/$C$6</f>
        <v>0.14414888136460371</v>
      </c>
      <c r="F16" s="82">
        <f t="shared" si="2"/>
        <v>0.10422832455171091</v>
      </c>
      <c r="G16" s="82">
        <f t="shared" si="2"/>
        <v>0.04973015607957109</v>
      </c>
      <c r="H16" s="82">
        <f t="shared" si="2"/>
        <v>0.21015494263818177</v>
      </c>
      <c r="I16" s="82">
        <f t="shared" si="2"/>
        <v>0.15624300519791515</v>
      </c>
      <c r="J16" s="82">
        <f t="shared" si="2"/>
        <v>0.13588124735751922</v>
      </c>
      <c r="K16" s="10"/>
    </row>
    <row r="17" spans="2:10" ht="12.75">
      <c r="B17" s="201" t="s">
        <v>154</v>
      </c>
      <c r="C17" s="201"/>
      <c r="D17" s="201"/>
      <c r="E17" s="201"/>
      <c r="F17" s="201"/>
      <c r="G17" s="201"/>
      <c r="H17" s="201"/>
      <c r="I17" s="201"/>
      <c r="J17" s="201"/>
    </row>
    <row r="18" spans="2:10" ht="9.75" customHeight="1">
      <c r="B18" s="83"/>
      <c r="C18" s="83"/>
      <c r="D18" s="83"/>
      <c r="E18" s="83"/>
      <c r="F18" s="83"/>
      <c r="G18" s="83"/>
      <c r="H18" s="83"/>
      <c r="I18" s="83"/>
      <c r="J18" s="83"/>
    </row>
    <row r="19" spans="2:12" ht="70.5" customHeight="1">
      <c r="B19" s="207" t="s">
        <v>198</v>
      </c>
      <c r="C19" s="208"/>
      <c r="D19" s="208"/>
      <c r="E19" s="208"/>
      <c r="F19" s="208"/>
      <c r="G19" s="208"/>
      <c r="H19" s="208"/>
      <c r="I19" s="208"/>
      <c r="J19" s="209"/>
      <c r="L19" s="10"/>
    </row>
    <row r="21" spans="4:8" ht="12.75">
      <c r="D21" s="29"/>
      <c r="G21" s="10"/>
      <c r="H21" s="37"/>
    </row>
    <row r="22" spans="7:10" ht="12.75">
      <c r="G22" s="10"/>
      <c r="H22" s="37"/>
      <c r="J22" s="39"/>
    </row>
    <row r="23" spans="7:8" ht="12.75">
      <c r="G23" s="30"/>
      <c r="H23" s="40"/>
    </row>
    <row r="24" ht="12.75">
      <c r="G24" s="10"/>
    </row>
    <row r="26" spans="5:6" ht="12.75">
      <c r="E26" s="37"/>
      <c r="F26" s="37"/>
    </row>
    <row r="27" spans="5:6" ht="12.75">
      <c r="E27" s="10"/>
      <c r="F27" s="38"/>
    </row>
  </sheetData>
  <sheetProtection/>
  <mergeCells count="12">
    <mergeCell ref="B19:J19"/>
    <mergeCell ref="B12:J12"/>
    <mergeCell ref="B13:B14"/>
    <mergeCell ref="C13:C14"/>
    <mergeCell ref="D13:J13"/>
    <mergeCell ref="B17:J17"/>
    <mergeCell ref="B8:J8"/>
    <mergeCell ref="B11:J11"/>
    <mergeCell ref="B2:J2"/>
    <mergeCell ref="B3:B4"/>
    <mergeCell ref="C3:C4"/>
    <mergeCell ref="D3:J3"/>
  </mergeCells>
  <printOptions horizontalCentered="1" verticalCentered="1"/>
  <pageMargins left="1.6535433070866143" right="2.047244094488189" top="1.299212598425197" bottom="0.984251968503937" header="0.5118110236220472" footer="0.5118110236220472"/>
  <pageSetup horizontalDpi="600" verticalDpi="600" orientation="landscape" scale="85" r:id="rId2"/>
  <drawing r:id="rId1"/>
</worksheet>
</file>

<file path=xl/worksheets/sheet11.xml><?xml version="1.0" encoding="utf-8"?>
<worksheet xmlns="http://schemas.openxmlformats.org/spreadsheetml/2006/main" xmlns:r="http://schemas.openxmlformats.org/officeDocument/2006/relationships">
  <dimension ref="B2:K32"/>
  <sheetViews>
    <sheetView showGridLines="0" zoomScalePageLayoutView="0" workbookViewId="0" topLeftCell="A1">
      <selection activeCell="B19" sqref="B19:I19"/>
    </sheetView>
  </sheetViews>
  <sheetFormatPr defaultColWidth="9.140625" defaultRowHeight="12.75"/>
  <cols>
    <col min="1" max="1" width="9.140625" style="5" customWidth="1"/>
    <col min="2" max="2" width="19.140625" style="5" customWidth="1"/>
    <col min="3" max="3" width="16.28125" style="5" customWidth="1"/>
    <col min="4" max="4" width="16.8515625" style="5" customWidth="1"/>
    <col min="5" max="5" width="16.00390625" style="5" customWidth="1"/>
    <col min="6" max="6" width="15.140625" style="5" customWidth="1"/>
    <col min="7" max="7" width="16.8515625" style="5" customWidth="1"/>
    <col min="8" max="8" width="17.28125" style="5" customWidth="1"/>
    <col min="9" max="9" width="8.28125" style="5" bestFit="1" customWidth="1"/>
    <col min="10" max="10" width="7.57421875" style="5" bestFit="1" customWidth="1"/>
    <col min="11" max="11" width="12.28125" style="5" bestFit="1" customWidth="1"/>
    <col min="12" max="12" width="8.28125" style="5" bestFit="1" customWidth="1"/>
    <col min="13" max="13" width="12.00390625" style="5" bestFit="1" customWidth="1"/>
    <col min="14" max="14" width="11.7109375" style="5" customWidth="1"/>
    <col min="15" max="15" width="9.140625" style="5" customWidth="1"/>
    <col min="16" max="16" width="14.00390625" style="5" bestFit="1" customWidth="1"/>
    <col min="17" max="17" width="12.7109375" style="5" bestFit="1" customWidth="1"/>
    <col min="18" max="18" width="9.28125" style="5" bestFit="1" customWidth="1"/>
    <col min="19" max="21" width="9.140625" style="5" customWidth="1"/>
    <col min="22" max="22" width="11.140625" style="5" customWidth="1"/>
    <col min="23" max="25" width="9.140625" style="5" customWidth="1"/>
    <col min="26" max="26" width="11.28125" style="5" customWidth="1"/>
    <col min="27" max="27" width="12.00390625" style="5" customWidth="1"/>
    <col min="28" max="16384" width="9.140625" style="5" customWidth="1"/>
  </cols>
  <sheetData>
    <row r="2" spans="2:9" ht="18.75" customHeight="1">
      <c r="B2" s="169" t="s">
        <v>184</v>
      </c>
      <c r="C2" s="169"/>
      <c r="D2" s="169"/>
      <c r="E2" s="169"/>
      <c r="F2" s="169"/>
      <c r="G2" s="169"/>
      <c r="H2" s="169"/>
      <c r="I2" s="169"/>
    </row>
    <row r="3" spans="2:9" ht="15" customHeight="1">
      <c r="B3" s="212"/>
      <c r="C3" s="212" t="s">
        <v>84</v>
      </c>
      <c r="D3" s="213" t="s">
        <v>126</v>
      </c>
      <c r="E3" s="213"/>
      <c r="F3" s="213"/>
      <c r="G3" s="213"/>
      <c r="H3" s="213"/>
      <c r="I3" s="213"/>
    </row>
    <row r="4" spans="2:9" ht="12.75">
      <c r="B4" s="212"/>
      <c r="C4" s="212"/>
      <c r="D4" s="84">
        <v>1</v>
      </c>
      <c r="E4" s="84">
        <v>2</v>
      </c>
      <c r="F4" s="84">
        <v>3</v>
      </c>
      <c r="G4" s="84">
        <v>4</v>
      </c>
      <c r="H4" s="84">
        <v>5</v>
      </c>
      <c r="I4" s="84">
        <v>6</v>
      </c>
    </row>
    <row r="5" spans="2:9" ht="12.75">
      <c r="B5" s="85" t="s">
        <v>91</v>
      </c>
      <c r="C5" s="86">
        <f>SUM(D5:I5)</f>
        <v>40473</v>
      </c>
      <c r="D5" s="86">
        <v>28930</v>
      </c>
      <c r="E5" s="86">
        <v>9701</v>
      </c>
      <c r="F5" s="86">
        <v>1452</v>
      </c>
      <c r="G5" s="86">
        <v>286</v>
      </c>
      <c r="H5" s="86">
        <v>65</v>
      </c>
      <c r="I5" s="86">
        <v>39</v>
      </c>
    </row>
    <row r="6" spans="2:9" ht="25.5">
      <c r="B6" s="73" t="s">
        <v>127</v>
      </c>
      <c r="C6" s="87">
        <f>SUM(D6:I6)</f>
        <v>281459</v>
      </c>
      <c r="D6" s="87">
        <v>210591</v>
      </c>
      <c r="E6" s="87">
        <v>64592</v>
      </c>
      <c r="F6" s="87">
        <v>5417</v>
      </c>
      <c r="G6" s="87">
        <v>693</v>
      </c>
      <c r="H6" s="87">
        <v>109</v>
      </c>
      <c r="I6" s="87">
        <v>57</v>
      </c>
    </row>
    <row r="7" spans="2:9" ht="38.25">
      <c r="B7" s="75" t="s">
        <v>128</v>
      </c>
      <c r="C7" s="88">
        <f>SUM(D7:I7)</f>
        <v>53120.5058035293</v>
      </c>
      <c r="D7" s="88">
        <f aca="true" t="shared" si="0" ref="D7:I7">+(D6/529.85)*100</f>
        <v>39745.399641407945</v>
      </c>
      <c r="E7" s="88">
        <f t="shared" si="0"/>
        <v>12190.619986788714</v>
      </c>
      <c r="F7" s="88">
        <f t="shared" si="0"/>
        <v>1022.3648202321411</v>
      </c>
      <c r="G7" s="88">
        <f t="shared" si="0"/>
        <v>130.7917335094838</v>
      </c>
      <c r="H7" s="88">
        <f t="shared" si="0"/>
        <v>20.57185996036614</v>
      </c>
      <c r="I7" s="88">
        <f t="shared" si="0"/>
        <v>10.757761630650183</v>
      </c>
    </row>
    <row r="8" spans="2:9" ht="12.75">
      <c r="B8" s="187" t="s">
        <v>154</v>
      </c>
      <c r="C8" s="187"/>
      <c r="D8" s="187"/>
      <c r="E8" s="187"/>
      <c r="F8" s="187"/>
      <c r="G8" s="187"/>
      <c r="H8" s="187"/>
      <c r="I8" s="187"/>
    </row>
    <row r="9" spans="2:8" ht="12.75">
      <c r="B9" s="45"/>
      <c r="C9" s="45"/>
      <c r="D9" s="45"/>
      <c r="E9" s="45"/>
      <c r="F9" s="45"/>
      <c r="G9" s="45"/>
      <c r="H9" s="45"/>
    </row>
    <row r="10" spans="2:8" ht="12.75">
      <c r="B10" s="45"/>
      <c r="C10" s="45"/>
      <c r="D10" s="45"/>
      <c r="E10" s="45"/>
      <c r="F10" s="45"/>
      <c r="G10" s="45"/>
      <c r="H10" s="45"/>
    </row>
    <row r="11" spans="2:8" ht="12.75">
      <c r="B11" s="211"/>
      <c r="C11" s="211"/>
      <c r="D11" s="211"/>
      <c r="E11" s="211"/>
      <c r="F11" s="211"/>
      <c r="G11" s="211"/>
      <c r="H11" s="89"/>
    </row>
    <row r="12" spans="2:9" ht="18" customHeight="1">
      <c r="B12" s="169" t="s">
        <v>185</v>
      </c>
      <c r="C12" s="169"/>
      <c r="D12" s="169"/>
      <c r="E12" s="169"/>
      <c r="F12" s="169"/>
      <c r="G12" s="169"/>
      <c r="H12" s="169"/>
      <c r="I12" s="169"/>
    </row>
    <row r="13" spans="2:9" ht="12.75">
      <c r="B13" s="212"/>
      <c r="C13" s="212" t="s">
        <v>84</v>
      </c>
      <c r="D13" s="213" t="s">
        <v>126</v>
      </c>
      <c r="E13" s="213"/>
      <c r="F13" s="213"/>
      <c r="G13" s="213"/>
      <c r="H13" s="213"/>
      <c r="I13" s="213"/>
    </row>
    <row r="14" spans="2:11" ht="12.75">
      <c r="B14" s="212"/>
      <c r="C14" s="212"/>
      <c r="D14" s="84">
        <v>1</v>
      </c>
      <c r="E14" s="84">
        <v>2</v>
      </c>
      <c r="F14" s="84">
        <v>3</v>
      </c>
      <c r="G14" s="84">
        <v>4</v>
      </c>
      <c r="H14" s="84">
        <v>5</v>
      </c>
      <c r="I14" s="84">
        <v>6</v>
      </c>
      <c r="K14" s="20"/>
    </row>
    <row r="15" spans="2:10" ht="12.75">
      <c r="B15" s="85" t="s">
        <v>91</v>
      </c>
      <c r="C15" s="90">
        <f>SUM(D15:I15)</f>
        <v>1</v>
      </c>
      <c r="D15" s="90">
        <f aca="true" t="shared" si="1" ref="D15:I15">+D5/$C$5</f>
        <v>0.7147975193338769</v>
      </c>
      <c r="E15" s="90">
        <f t="shared" si="1"/>
        <v>0.23969065796951053</v>
      </c>
      <c r="F15" s="90">
        <f t="shared" si="1"/>
        <v>0.03587576903120599</v>
      </c>
      <c r="G15" s="90">
        <f t="shared" si="1"/>
        <v>0.007066439354631483</v>
      </c>
      <c r="H15" s="90">
        <f t="shared" si="1"/>
        <v>0.001606008944234428</v>
      </c>
      <c r="I15" s="90">
        <f t="shared" si="1"/>
        <v>0.0009636053665406567</v>
      </c>
      <c r="J15" s="20"/>
    </row>
    <row r="16" spans="2:10" ht="12.75">
      <c r="B16" s="91" t="s">
        <v>132</v>
      </c>
      <c r="C16" s="92">
        <f>SUM(D16:I16)</f>
        <v>0.9999999999999999</v>
      </c>
      <c r="D16" s="92">
        <f aca="true" t="shared" si="2" ref="D16:I16">+D6/$C$6</f>
        <v>0.7482119953527867</v>
      </c>
      <c r="E16" s="92">
        <f t="shared" si="2"/>
        <v>0.22948990794396343</v>
      </c>
      <c r="F16" s="92">
        <f t="shared" si="2"/>
        <v>0.019246142422164506</v>
      </c>
      <c r="G16" s="92">
        <f t="shared" si="2"/>
        <v>0.002462170333867455</v>
      </c>
      <c r="H16" s="92">
        <f t="shared" si="2"/>
        <v>0.00038726777257078296</v>
      </c>
      <c r="I16" s="92">
        <f t="shared" si="2"/>
        <v>0.0002025161746471067</v>
      </c>
      <c r="J16" s="20"/>
    </row>
    <row r="17" spans="2:10" ht="12.75">
      <c r="B17" s="187" t="s">
        <v>154</v>
      </c>
      <c r="C17" s="187"/>
      <c r="D17" s="187"/>
      <c r="E17" s="187"/>
      <c r="F17" s="187"/>
      <c r="G17" s="187"/>
      <c r="H17" s="187"/>
      <c r="I17" s="187"/>
      <c r="J17" s="20"/>
    </row>
    <row r="18" spans="2:10" ht="9" customHeight="1">
      <c r="B18" s="45"/>
      <c r="C18" s="45"/>
      <c r="D18" s="45"/>
      <c r="E18" s="45"/>
      <c r="F18" s="45"/>
      <c r="G18" s="45"/>
      <c r="H18" s="45"/>
      <c r="J18" s="20"/>
    </row>
    <row r="19" spans="2:11" ht="45.75" customHeight="1">
      <c r="B19" s="191" t="s">
        <v>199</v>
      </c>
      <c r="C19" s="192"/>
      <c r="D19" s="192"/>
      <c r="E19" s="192"/>
      <c r="F19" s="192"/>
      <c r="G19" s="192"/>
      <c r="H19" s="192"/>
      <c r="I19" s="193"/>
      <c r="J19" s="20"/>
      <c r="K19" s="20"/>
    </row>
    <row r="20" ht="12.75">
      <c r="E20" s="20"/>
    </row>
    <row r="21" spans="4:5" ht="12.75">
      <c r="D21" s="12"/>
      <c r="E21" s="12"/>
    </row>
    <row r="22" spans="4:11" ht="12.75">
      <c r="D22" s="29"/>
      <c r="I22" s="20"/>
      <c r="K22" s="20"/>
    </row>
    <row r="23" spans="5:8" ht="12.75">
      <c r="E23" s="29"/>
      <c r="H23" s="20"/>
    </row>
    <row r="25" spans="8:9" ht="12.75">
      <c r="H25" s="20"/>
      <c r="I25" s="20"/>
    </row>
    <row r="32" ht="12.75">
      <c r="I32" s="13"/>
    </row>
  </sheetData>
  <sheetProtection/>
  <mergeCells count="12">
    <mergeCell ref="B13:B14"/>
    <mergeCell ref="C13:C14"/>
    <mergeCell ref="B12:I12"/>
    <mergeCell ref="D13:I13"/>
    <mergeCell ref="B17:I17"/>
    <mergeCell ref="B19:I19"/>
    <mergeCell ref="B11:G11"/>
    <mergeCell ref="B3:B4"/>
    <mergeCell ref="C3:C4"/>
    <mergeCell ref="B2:I2"/>
    <mergeCell ref="D3:I3"/>
    <mergeCell ref="B8:I8"/>
  </mergeCells>
  <printOptions horizontalCentered="1" verticalCentered="1"/>
  <pageMargins left="2.440944881889764" right="2.047244094488189" top="0.8267716535433072" bottom="0.984251968503937" header="0.5118110236220472" footer="0.5118110236220472"/>
  <pageSetup horizontalDpi="600" verticalDpi="600" orientation="landscape" scale="90" r:id="rId2"/>
  <drawing r:id="rId1"/>
</worksheet>
</file>

<file path=xl/worksheets/sheet12.xml><?xml version="1.0" encoding="utf-8"?>
<worksheet xmlns="http://schemas.openxmlformats.org/spreadsheetml/2006/main" xmlns:r="http://schemas.openxmlformats.org/officeDocument/2006/relationships">
  <dimension ref="B2:K24"/>
  <sheetViews>
    <sheetView showGridLines="0" zoomScalePageLayoutView="0" workbookViewId="0" topLeftCell="A1">
      <selection activeCell="B19" sqref="B19:I19"/>
    </sheetView>
  </sheetViews>
  <sheetFormatPr defaultColWidth="10.8515625" defaultRowHeight="12.75"/>
  <cols>
    <col min="1" max="1" width="6.140625" style="6" customWidth="1"/>
    <col min="2" max="2" width="18.00390625" style="6" customWidth="1"/>
    <col min="3" max="3" width="12.00390625" style="6" customWidth="1"/>
    <col min="4" max="4" width="15.421875" style="6" customWidth="1"/>
    <col min="5" max="5" width="13.00390625" style="6" customWidth="1"/>
    <col min="6" max="6" width="14.00390625" style="6" customWidth="1"/>
    <col min="7" max="7" width="14.7109375" style="6" customWidth="1"/>
    <col min="8" max="8" width="19.7109375" style="6" customWidth="1"/>
    <col min="9" max="9" width="18.421875" style="6" customWidth="1"/>
    <col min="10" max="10" width="10.8515625" style="6" customWidth="1"/>
    <col min="11" max="11" width="17.421875" style="6" customWidth="1"/>
    <col min="12" max="14" width="10.8515625" style="6" customWidth="1"/>
    <col min="15" max="15" width="14.8515625" style="6" customWidth="1"/>
    <col min="16" max="16" width="10.8515625" style="6" customWidth="1"/>
    <col min="17" max="17" width="15.57421875" style="6" customWidth="1"/>
    <col min="18" max="18" width="12.421875" style="6" bestFit="1" customWidth="1"/>
    <col min="19" max="16384" width="10.8515625" style="6" customWidth="1"/>
  </cols>
  <sheetData>
    <row r="2" spans="2:9" ht="12.75">
      <c r="B2" s="218" t="s">
        <v>186</v>
      </c>
      <c r="C2" s="218"/>
      <c r="D2" s="218"/>
      <c r="E2" s="218"/>
      <c r="F2" s="218"/>
      <c r="G2" s="218"/>
      <c r="H2" s="218"/>
      <c r="I2" s="218"/>
    </row>
    <row r="3" spans="2:9" ht="15" customHeight="1">
      <c r="B3" s="219"/>
      <c r="C3" s="219" t="s">
        <v>84</v>
      </c>
      <c r="D3" s="222" t="s">
        <v>93</v>
      </c>
      <c r="E3" s="222"/>
      <c r="F3" s="222"/>
      <c r="G3" s="222"/>
      <c r="H3" s="222"/>
      <c r="I3" s="222"/>
    </row>
    <row r="4" spans="2:9" ht="40.5" customHeight="1">
      <c r="B4" s="220"/>
      <c r="C4" s="220"/>
      <c r="D4" s="100" t="s">
        <v>94</v>
      </c>
      <c r="E4" s="100" t="s">
        <v>95</v>
      </c>
      <c r="F4" s="100" t="s">
        <v>96</v>
      </c>
      <c r="G4" s="100" t="s">
        <v>136</v>
      </c>
      <c r="H4" s="101" t="s">
        <v>97</v>
      </c>
      <c r="I4" s="101" t="s">
        <v>98</v>
      </c>
    </row>
    <row r="5" spans="2:9" ht="21" customHeight="1">
      <c r="B5" s="102" t="s">
        <v>91</v>
      </c>
      <c r="C5" s="103">
        <f>SUM(D5:I5)</f>
        <v>40473</v>
      </c>
      <c r="D5" s="103">
        <v>1182</v>
      </c>
      <c r="E5" s="103">
        <v>642</v>
      </c>
      <c r="F5" s="103">
        <f>5752+1205</f>
        <v>6957</v>
      </c>
      <c r="G5" s="103">
        <f>7409+3030</f>
        <v>10439</v>
      </c>
      <c r="H5" s="103">
        <v>1257</v>
      </c>
      <c r="I5" s="103">
        <v>19996</v>
      </c>
    </row>
    <row r="6" spans="2:9" ht="28.5" customHeight="1">
      <c r="B6" s="104" t="s">
        <v>127</v>
      </c>
      <c r="C6" s="105">
        <f>SUM(D6:I6)</f>
        <v>281459.3</v>
      </c>
      <c r="D6" s="105">
        <v>9594</v>
      </c>
      <c r="E6" s="105">
        <v>3262.3</v>
      </c>
      <c r="F6" s="105">
        <f>31660+10894</f>
        <v>42554</v>
      </c>
      <c r="G6" s="105">
        <f>91071+19405</f>
        <v>110476</v>
      </c>
      <c r="H6" s="105">
        <v>10310</v>
      </c>
      <c r="I6" s="105">
        <v>105263</v>
      </c>
    </row>
    <row r="7" spans="2:9" ht="29.25" customHeight="1">
      <c r="B7" s="106" t="s">
        <v>128</v>
      </c>
      <c r="C7" s="107">
        <f>SUM(D7:I7)</f>
        <v>53120.562423327356</v>
      </c>
      <c r="D7" s="107">
        <f aca="true" t="shared" si="0" ref="D7:I7">+(D6/529.85)*100</f>
        <v>1810.701141832594</v>
      </c>
      <c r="E7" s="107">
        <f t="shared" si="0"/>
        <v>615.7025573275456</v>
      </c>
      <c r="F7" s="107">
        <f t="shared" si="0"/>
        <v>8031.329621591016</v>
      </c>
      <c r="G7" s="107">
        <f t="shared" si="0"/>
        <v>20850.429366801924</v>
      </c>
      <c r="H7" s="107">
        <f t="shared" si="0"/>
        <v>1945.8337265263754</v>
      </c>
      <c r="I7" s="107">
        <f t="shared" si="0"/>
        <v>19866.566009247897</v>
      </c>
    </row>
    <row r="8" spans="2:9" ht="12.75">
      <c r="B8" s="221" t="s">
        <v>154</v>
      </c>
      <c r="C8" s="221"/>
      <c r="D8" s="221"/>
      <c r="E8" s="221"/>
      <c r="F8" s="221"/>
      <c r="G8" s="221"/>
      <c r="H8" s="221"/>
      <c r="I8" s="221"/>
    </row>
    <row r="9" spans="2:9" ht="12.75">
      <c r="B9" s="108"/>
      <c r="C9" s="108"/>
      <c r="D9" s="108"/>
      <c r="E9" s="108"/>
      <c r="F9" s="108"/>
      <c r="G9" s="108"/>
      <c r="H9" s="108"/>
      <c r="I9" s="108"/>
    </row>
    <row r="10" spans="2:9" ht="12.75">
      <c r="B10" s="108"/>
      <c r="C10" s="108"/>
      <c r="D10" s="108"/>
      <c r="E10" s="108"/>
      <c r="F10" s="108"/>
      <c r="G10" s="108"/>
      <c r="H10" s="108"/>
      <c r="I10" s="108"/>
    </row>
    <row r="11" spans="2:11" ht="12.75">
      <c r="B11" s="217"/>
      <c r="C11" s="217"/>
      <c r="D11" s="217"/>
      <c r="E11" s="217"/>
      <c r="F11" s="217"/>
      <c r="G11" s="217"/>
      <c r="H11" s="217"/>
      <c r="I11" s="217"/>
      <c r="K11" s="10"/>
    </row>
    <row r="12" spans="2:9" ht="12.75">
      <c r="B12" s="218" t="s">
        <v>187</v>
      </c>
      <c r="C12" s="218"/>
      <c r="D12" s="218"/>
      <c r="E12" s="218"/>
      <c r="F12" s="218"/>
      <c r="G12" s="218"/>
      <c r="H12" s="218"/>
      <c r="I12" s="218"/>
    </row>
    <row r="13" spans="2:10" ht="12.75">
      <c r="B13" s="219"/>
      <c r="C13" s="219" t="s">
        <v>84</v>
      </c>
      <c r="D13" s="222" t="s">
        <v>93</v>
      </c>
      <c r="E13" s="222"/>
      <c r="F13" s="222"/>
      <c r="G13" s="222"/>
      <c r="H13" s="222"/>
      <c r="I13" s="222"/>
      <c r="J13" s="9"/>
    </row>
    <row r="14" spans="2:9" ht="41.25" customHeight="1">
      <c r="B14" s="220"/>
      <c r="C14" s="220"/>
      <c r="D14" s="100" t="s">
        <v>94</v>
      </c>
      <c r="E14" s="100" t="s">
        <v>95</v>
      </c>
      <c r="F14" s="100" t="s">
        <v>96</v>
      </c>
      <c r="G14" s="100" t="s">
        <v>136</v>
      </c>
      <c r="H14" s="101" t="s">
        <v>97</v>
      </c>
      <c r="I14" s="101" t="s">
        <v>98</v>
      </c>
    </row>
    <row r="15" spans="2:10" ht="16.5" customHeight="1">
      <c r="B15" s="102" t="s">
        <v>91</v>
      </c>
      <c r="C15" s="109">
        <f>SUM(D15:I15)</f>
        <v>1</v>
      </c>
      <c r="D15" s="110">
        <f aca="true" t="shared" si="1" ref="D15:I15">+D5/$C$5</f>
        <v>0.029204654955155288</v>
      </c>
      <c r="E15" s="110">
        <f t="shared" si="1"/>
        <v>0.015862426803053886</v>
      </c>
      <c r="F15" s="110">
        <f t="shared" si="1"/>
        <v>0.1718923726929064</v>
      </c>
      <c r="G15" s="110">
        <f t="shared" si="1"/>
        <v>0.2579250364440491</v>
      </c>
      <c r="H15" s="110">
        <f t="shared" si="1"/>
        <v>0.031057742198502707</v>
      </c>
      <c r="I15" s="110">
        <f t="shared" si="1"/>
        <v>0.49405776690633263</v>
      </c>
      <c r="J15" s="10"/>
    </row>
    <row r="16" spans="2:11" ht="14.25" customHeight="1">
      <c r="B16" s="111" t="s">
        <v>133</v>
      </c>
      <c r="C16" s="112">
        <f>SUM(D16:I16)</f>
        <v>1</v>
      </c>
      <c r="D16" s="113">
        <f aca="true" t="shared" si="2" ref="D16:I16">+D6/$C$6</f>
        <v>0.034086633484841325</v>
      </c>
      <c r="E16" s="113">
        <f t="shared" si="2"/>
        <v>0.011590663374775679</v>
      </c>
      <c r="F16" s="113">
        <f t="shared" si="2"/>
        <v>0.15119059842755242</v>
      </c>
      <c r="G16" s="113">
        <f t="shared" si="2"/>
        <v>0.3925114572515458</v>
      </c>
      <c r="H16" s="113">
        <f t="shared" si="2"/>
        <v>0.03663051816017449</v>
      </c>
      <c r="I16" s="113">
        <f t="shared" si="2"/>
        <v>0.37399012930111036</v>
      </c>
      <c r="J16" s="10"/>
      <c r="K16" s="10"/>
    </row>
    <row r="17" spans="2:11" ht="12.75">
      <c r="B17" s="221" t="s">
        <v>154</v>
      </c>
      <c r="C17" s="221"/>
      <c r="D17" s="221"/>
      <c r="E17" s="221"/>
      <c r="F17" s="221"/>
      <c r="G17" s="221"/>
      <c r="H17" s="221"/>
      <c r="I17" s="221"/>
      <c r="K17" s="10"/>
    </row>
    <row r="18" spans="2:9" ht="10.5" customHeight="1">
      <c r="B18" s="114"/>
      <c r="C18" s="114"/>
      <c r="D18" s="114"/>
      <c r="E18" s="114"/>
      <c r="F18" s="114"/>
      <c r="G18" s="114"/>
      <c r="H18" s="114"/>
      <c r="I18" s="114"/>
    </row>
    <row r="19" spans="2:11" ht="138" customHeight="1">
      <c r="B19" s="214" t="s">
        <v>200</v>
      </c>
      <c r="C19" s="215"/>
      <c r="D19" s="215"/>
      <c r="E19" s="215"/>
      <c r="F19" s="215"/>
      <c r="G19" s="215"/>
      <c r="H19" s="215"/>
      <c r="I19" s="216"/>
      <c r="J19" s="10"/>
      <c r="K19" s="10"/>
    </row>
    <row r="20" spans="6:7" ht="12.75">
      <c r="F20" s="10"/>
      <c r="G20" s="10"/>
    </row>
    <row r="21" spans="4:8" ht="12.75">
      <c r="D21" s="10"/>
      <c r="E21" s="30"/>
      <c r="F21" s="10"/>
      <c r="G21" s="10"/>
      <c r="H21" s="10"/>
    </row>
    <row r="22" spans="4:6" ht="12.75">
      <c r="D22" s="10"/>
      <c r="F22" s="10"/>
    </row>
    <row r="23" ht="12.75">
      <c r="E23" s="10"/>
    </row>
    <row r="24" spans="7:8" ht="12.75">
      <c r="G24" s="10"/>
      <c r="H24" s="10"/>
    </row>
  </sheetData>
  <sheetProtection/>
  <mergeCells count="12">
    <mergeCell ref="B2:I2"/>
    <mergeCell ref="B3:B4"/>
    <mergeCell ref="C3:C4"/>
    <mergeCell ref="D3:I3"/>
    <mergeCell ref="C13:C14"/>
    <mergeCell ref="D13:I13"/>
    <mergeCell ref="B19:I19"/>
    <mergeCell ref="B11:I11"/>
    <mergeCell ref="B12:I12"/>
    <mergeCell ref="B13:B14"/>
    <mergeCell ref="B8:I8"/>
    <mergeCell ref="B17:I17"/>
  </mergeCells>
  <printOptions horizontalCentered="1" verticalCentered="1"/>
  <pageMargins left="1.4566929133858268" right="2.047244094488189" top="0.8267716535433072" bottom="0.984251968503937" header="0.5118110236220472" footer="0.5118110236220472"/>
  <pageSetup horizontalDpi="600" verticalDpi="600" orientation="landscape" scale="85" r:id="rId2"/>
  <drawing r:id="rId1"/>
</worksheet>
</file>

<file path=xl/worksheets/sheet13.xml><?xml version="1.0" encoding="utf-8"?>
<worksheet xmlns="http://schemas.openxmlformats.org/spreadsheetml/2006/main" xmlns:r="http://schemas.openxmlformats.org/officeDocument/2006/relationships">
  <dimension ref="B1:M32"/>
  <sheetViews>
    <sheetView showGridLines="0" zoomScalePageLayoutView="0" workbookViewId="0" topLeftCell="A1">
      <selection activeCell="B19" sqref="B19:H19"/>
    </sheetView>
  </sheetViews>
  <sheetFormatPr defaultColWidth="9.140625" defaultRowHeight="12.75"/>
  <cols>
    <col min="1" max="1" width="7.7109375" style="5" customWidth="1"/>
    <col min="2" max="2" width="18.7109375" style="5" customWidth="1"/>
    <col min="3" max="3" width="14.140625" style="5" customWidth="1"/>
    <col min="4" max="4" width="13.140625" style="5" customWidth="1"/>
    <col min="5" max="5" width="11.57421875" style="5" customWidth="1"/>
    <col min="6" max="6" width="13.7109375" style="5" customWidth="1"/>
    <col min="7" max="7" width="14.421875" style="5" customWidth="1"/>
    <col min="8" max="8" width="18.421875" style="5" customWidth="1"/>
    <col min="9" max="9" width="8.28125" style="5" bestFit="1" customWidth="1"/>
    <col min="10" max="10" width="7.57421875" style="5" bestFit="1" customWidth="1"/>
    <col min="11" max="11" width="8.00390625" style="5" bestFit="1" customWidth="1"/>
    <col min="12" max="12" width="8.28125" style="5" bestFit="1" customWidth="1"/>
    <col min="13" max="13" width="12.00390625" style="5" bestFit="1" customWidth="1"/>
    <col min="14" max="14" width="11.7109375" style="5" customWidth="1"/>
    <col min="15" max="15" width="9.140625" style="5" customWidth="1"/>
    <col min="16" max="16" width="14.00390625" style="5" bestFit="1" customWidth="1"/>
    <col min="17" max="17" width="12.7109375" style="5" bestFit="1" customWidth="1"/>
    <col min="18" max="18" width="9.28125" style="5" bestFit="1" customWidth="1"/>
    <col min="19" max="21" width="9.140625" style="5" customWidth="1"/>
    <col min="22" max="22" width="11.140625" style="5" customWidth="1"/>
    <col min="23" max="25" width="9.140625" style="5" customWidth="1"/>
    <col min="26" max="26" width="11.28125" style="5" customWidth="1"/>
    <col min="27" max="27" width="12.00390625" style="5" customWidth="1"/>
    <col min="28" max="16384" width="9.140625" style="5" customWidth="1"/>
  </cols>
  <sheetData>
    <row r="1" spans="9:13" ht="12.75">
      <c r="I1" s="23"/>
      <c r="J1" s="23"/>
      <c r="K1" s="23"/>
      <c r="L1" s="23"/>
      <c r="M1" s="23"/>
    </row>
    <row r="2" spans="2:13" ht="15" customHeight="1">
      <c r="B2" s="169" t="s">
        <v>188</v>
      </c>
      <c r="C2" s="169"/>
      <c r="D2" s="169"/>
      <c r="E2" s="169"/>
      <c r="F2" s="169"/>
      <c r="G2" s="169"/>
      <c r="H2" s="169"/>
      <c r="I2" s="23"/>
      <c r="J2" s="23"/>
      <c r="K2" s="23"/>
      <c r="L2" s="23"/>
      <c r="M2" s="23"/>
    </row>
    <row r="3" spans="2:13" ht="15" customHeight="1">
      <c r="B3" s="223"/>
      <c r="C3" s="223" t="s">
        <v>84</v>
      </c>
      <c r="D3" s="213" t="s">
        <v>85</v>
      </c>
      <c r="E3" s="213"/>
      <c r="F3" s="213"/>
      <c r="G3" s="213"/>
      <c r="H3" s="213"/>
      <c r="I3" s="23"/>
      <c r="J3" s="23"/>
      <c r="K3" s="23"/>
      <c r="L3" s="23"/>
      <c r="M3" s="23"/>
    </row>
    <row r="4" spans="2:13" ht="38.25">
      <c r="B4" s="212"/>
      <c r="C4" s="212"/>
      <c r="D4" s="84" t="s">
        <v>86</v>
      </c>
      <c r="E4" s="84" t="s">
        <v>87</v>
      </c>
      <c r="F4" s="84" t="s">
        <v>88</v>
      </c>
      <c r="G4" s="84" t="s">
        <v>89</v>
      </c>
      <c r="H4" s="93" t="s">
        <v>90</v>
      </c>
      <c r="I4" s="24"/>
      <c r="J4" s="24"/>
      <c r="K4" s="24"/>
      <c r="L4" s="24"/>
      <c r="M4" s="25"/>
    </row>
    <row r="5" spans="2:13" ht="13.5" customHeight="1">
      <c r="B5" s="94" t="s">
        <v>91</v>
      </c>
      <c r="C5" s="95">
        <f>SUM(D5:H5)</f>
        <v>40473</v>
      </c>
      <c r="D5" s="95">
        <v>2900</v>
      </c>
      <c r="E5" s="95">
        <v>5</v>
      </c>
      <c r="F5" s="95">
        <v>5561</v>
      </c>
      <c r="G5" s="95">
        <v>27205</v>
      </c>
      <c r="H5" s="95">
        <v>4802</v>
      </c>
      <c r="I5" s="23"/>
      <c r="J5" s="23"/>
      <c r="K5" s="23"/>
      <c r="L5" s="23"/>
      <c r="M5" s="23"/>
    </row>
    <row r="6" spans="2:13" ht="28.5" customHeight="1">
      <c r="B6" s="73" t="s">
        <v>127</v>
      </c>
      <c r="C6" s="96">
        <f>SUM(D6:H6)</f>
        <v>281459</v>
      </c>
      <c r="D6" s="96">
        <v>14418</v>
      </c>
      <c r="E6" s="96">
        <v>3</v>
      </c>
      <c r="F6" s="96">
        <v>58839</v>
      </c>
      <c r="G6" s="96">
        <v>157638</v>
      </c>
      <c r="H6" s="96">
        <v>50561</v>
      </c>
      <c r="I6" s="26"/>
      <c r="J6" s="26"/>
      <c r="K6" s="26"/>
      <c r="L6" s="26"/>
      <c r="M6" s="26"/>
    </row>
    <row r="7" spans="2:13" ht="24.75" customHeight="1">
      <c r="B7" s="75" t="s">
        <v>128</v>
      </c>
      <c r="C7" s="97">
        <f>SUM(D7:H7)</f>
        <v>53120.50580352929</v>
      </c>
      <c r="D7" s="97">
        <f>+(D6/529.85)*100</f>
        <v>2721.147494573936</v>
      </c>
      <c r="E7" s="97">
        <f>+(E6/529.85)*100</f>
        <v>0.5661979805605359</v>
      </c>
      <c r="F7" s="97">
        <f>+(F6/529.85)*100</f>
        <v>11104.84099273379</v>
      </c>
      <c r="G7" s="97">
        <f>+(G6/529.85)*100</f>
        <v>29751.439086533923</v>
      </c>
      <c r="H7" s="97">
        <f>+(H6/529.85)*100</f>
        <v>9542.512031707087</v>
      </c>
      <c r="I7" s="26"/>
      <c r="J7" s="26"/>
      <c r="K7" s="26"/>
      <c r="L7" s="26"/>
      <c r="M7" s="26"/>
    </row>
    <row r="8" spans="2:13" ht="12.75">
      <c r="B8" s="187" t="s">
        <v>154</v>
      </c>
      <c r="C8" s="187"/>
      <c r="D8" s="187"/>
      <c r="E8" s="187"/>
      <c r="F8" s="187"/>
      <c r="G8" s="187"/>
      <c r="H8" s="187"/>
      <c r="I8" s="23"/>
      <c r="J8" s="23"/>
      <c r="K8" s="23"/>
      <c r="L8" s="23"/>
      <c r="M8" s="23"/>
    </row>
    <row r="9" spans="2:13" ht="12.75">
      <c r="B9" s="44"/>
      <c r="C9" s="44"/>
      <c r="D9" s="44"/>
      <c r="E9" s="44"/>
      <c r="F9" s="44"/>
      <c r="G9" s="44"/>
      <c r="H9" s="44"/>
      <c r="I9" s="23"/>
      <c r="J9" s="23"/>
      <c r="K9" s="23"/>
      <c r="L9" s="23"/>
      <c r="M9" s="23"/>
    </row>
    <row r="10" spans="2:8" ht="12.75">
      <c r="B10" s="45"/>
      <c r="C10" s="45"/>
      <c r="D10" s="45"/>
      <c r="E10" s="45"/>
      <c r="F10" s="45"/>
      <c r="G10" s="45"/>
      <c r="H10" s="45"/>
    </row>
    <row r="11" spans="2:8" ht="12.75">
      <c r="B11" s="211"/>
      <c r="C11" s="211"/>
      <c r="D11" s="211"/>
      <c r="E11" s="211"/>
      <c r="F11" s="211"/>
      <c r="G11" s="211"/>
      <c r="H11" s="211"/>
    </row>
    <row r="12" spans="2:8" ht="16.5" customHeight="1">
      <c r="B12" s="227" t="s">
        <v>189</v>
      </c>
      <c r="C12" s="227"/>
      <c r="D12" s="227"/>
      <c r="E12" s="227"/>
      <c r="F12" s="227"/>
      <c r="G12" s="227"/>
      <c r="H12" s="227"/>
    </row>
    <row r="13" spans="2:8" ht="12.75">
      <c r="B13" s="223"/>
      <c r="C13" s="223" t="s">
        <v>84</v>
      </c>
      <c r="D13" s="213" t="s">
        <v>85</v>
      </c>
      <c r="E13" s="213"/>
      <c r="F13" s="213"/>
      <c r="G13" s="213"/>
      <c r="H13" s="213"/>
    </row>
    <row r="14" spans="2:8" ht="38.25">
      <c r="B14" s="212"/>
      <c r="C14" s="212"/>
      <c r="D14" s="84" t="s">
        <v>86</v>
      </c>
      <c r="E14" s="84" t="s">
        <v>87</v>
      </c>
      <c r="F14" s="84" t="s">
        <v>88</v>
      </c>
      <c r="G14" s="84" t="s">
        <v>89</v>
      </c>
      <c r="H14" s="93" t="s">
        <v>90</v>
      </c>
    </row>
    <row r="15" spans="2:8" ht="15.75" customHeight="1">
      <c r="B15" s="94" t="s">
        <v>91</v>
      </c>
      <c r="C15" s="90">
        <f>SUM(D15:H15)</f>
        <v>1</v>
      </c>
      <c r="D15" s="90">
        <f>+D5/$C$5</f>
        <v>0.07165270674276679</v>
      </c>
      <c r="E15" s="90">
        <f>+E5/$C$5</f>
        <v>0.00012353914955649445</v>
      </c>
      <c r="F15" s="90">
        <f>+F5/$C$5</f>
        <v>0.13740024213673313</v>
      </c>
      <c r="G15" s="90">
        <f>+G5/$C$5</f>
        <v>0.6721765127368863</v>
      </c>
      <c r="H15" s="90">
        <f>+H5/$C$5</f>
        <v>0.11864699923405728</v>
      </c>
    </row>
    <row r="16" spans="2:8" ht="15" customHeight="1">
      <c r="B16" s="98" t="s">
        <v>132</v>
      </c>
      <c r="C16" s="92">
        <f>SUM(D16:H16)</f>
        <v>1</v>
      </c>
      <c r="D16" s="92">
        <f>+D6/$C$6</f>
        <v>0.05122593343968393</v>
      </c>
      <c r="E16" s="92">
        <f>+E6/$C$6</f>
        <v>1.0658746034058247E-05</v>
      </c>
      <c r="F16" s="92">
        <f>+F6/$C$6</f>
        <v>0.2090499859659844</v>
      </c>
      <c r="G16" s="92">
        <f>+G6/$C$6</f>
        <v>0.5600744691056246</v>
      </c>
      <c r="H16" s="92">
        <f>+H6/$C$6</f>
        <v>0.179638952742673</v>
      </c>
    </row>
    <row r="17" spans="2:8" ht="12.75">
      <c r="B17" s="187" t="s">
        <v>154</v>
      </c>
      <c r="C17" s="187"/>
      <c r="D17" s="187"/>
      <c r="E17" s="187"/>
      <c r="F17" s="187"/>
      <c r="G17" s="187"/>
      <c r="H17" s="187"/>
    </row>
    <row r="18" spans="2:8" ht="10.5" customHeight="1">
      <c r="B18" s="99"/>
      <c r="C18" s="99"/>
      <c r="D18" s="99"/>
      <c r="E18" s="99"/>
      <c r="F18" s="99"/>
      <c r="G18" s="99"/>
      <c r="H18" s="99"/>
    </row>
    <row r="19" spans="2:8" ht="112.5" customHeight="1">
      <c r="B19" s="224" t="s">
        <v>201</v>
      </c>
      <c r="C19" s="225"/>
      <c r="D19" s="225"/>
      <c r="E19" s="225"/>
      <c r="F19" s="225"/>
      <c r="G19" s="225"/>
      <c r="H19" s="226"/>
    </row>
    <row r="32" ht="12.75">
      <c r="I32" s="13"/>
    </row>
  </sheetData>
  <sheetProtection/>
  <mergeCells count="12">
    <mergeCell ref="B19:H19"/>
    <mergeCell ref="B12:H12"/>
    <mergeCell ref="B13:B14"/>
    <mergeCell ref="C13:C14"/>
    <mergeCell ref="D13:H13"/>
    <mergeCell ref="B17:H17"/>
    <mergeCell ref="B8:H8"/>
    <mergeCell ref="B11:H11"/>
    <mergeCell ref="B2:H2"/>
    <mergeCell ref="B3:B4"/>
    <mergeCell ref="C3:C4"/>
    <mergeCell ref="D3:H3"/>
  </mergeCells>
  <printOptions horizontalCentered="1" verticalCentered="1"/>
  <pageMargins left="2.440944881889764" right="2.047244094488189" top="0.8267716535433072" bottom="0.984251968503937" header="0.5118110236220472" footer="0.5118110236220472"/>
  <pageSetup horizontalDpi="600" verticalDpi="600" orientation="landscape" scale="85" r:id="rId2"/>
  <drawing r:id="rId1"/>
</worksheet>
</file>

<file path=xl/worksheets/sheet14.xml><?xml version="1.0" encoding="utf-8"?>
<worksheet xmlns="http://schemas.openxmlformats.org/spreadsheetml/2006/main" xmlns:r="http://schemas.openxmlformats.org/officeDocument/2006/relationships">
  <dimension ref="A3:O34"/>
  <sheetViews>
    <sheetView showGridLines="0" zoomScalePageLayoutView="0" workbookViewId="0" topLeftCell="A1">
      <selection activeCell="B20" sqref="B20:M20"/>
    </sheetView>
  </sheetViews>
  <sheetFormatPr defaultColWidth="10.8515625" defaultRowHeight="12.75"/>
  <cols>
    <col min="1" max="1" width="12.28125" style="6" customWidth="1"/>
    <col min="2" max="2" width="17.8515625" style="6" customWidth="1"/>
    <col min="3" max="3" width="8.7109375" style="6" customWidth="1"/>
    <col min="4" max="4" width="11.7109375" style="6" customWidth="1"/>
    <col min="5" max="6" width="12.00390625" style="6" customWidth="1"/>
    <col min="7" max="7" width="12.57421875" style="6" customWidth="1"/>
    <col min="8" max="8" width="19.00390625" style="6" customWidth="1"/>
    <col min="9" max="9" width="10.00390625" style="6" customWidth="1"/>
    <col min="10" max="10" width="12.00390625" style="6" customWidth="1"/>
    <col min="11" max="11" width="11.8515625" style="6" customWidth="1"/>
    <col min="12" max="12" width="12.140625" style="6" customWidth="1"/>
    <col min="13" max="13" width="13.00390625" style="6" customWidth="1"/>
    <col min="14" max="16384" width="10.8515625" style="6" customWidth="1"/>
  </cols>
  <sheetData>
    <row r="1" ht="8.25" customHeight="1"/>
    <row r="2" ht="11.25" customHeight="1"/>
    <row r="3" spans="2:13" ht="22.5" customHeight="1">
      <c r="B3" s="234" t="s">
        <v>190</v>
      </c>
      <c r="C3" s="234"/>
      <c r="D3" s="234"/>
      <c r="E3" s="234"/>
      <c r="F3" s="234"/>
      <c r="G3" s="234"/>
      <c r="H3" s="234"/>
      <c r="I3" s="234"/>
      <c r="J3" s="234"/>
      <c r="K3" s="234"/>
      <c r="L3" s="234"/>
      <c r="M3" s="234"/>
    </row>
    <row r="4" spans="2:13" ht="15" customHeight="1">
      <c r="B4" s="204" t="s">
        <v>109</v>
      </c>
      <c r="C4" s="204" t="s">
        <v>110</v>
      </c>
      <c r="D4" s="204" t="s">
        <v>144</v>
      </c>
      <c r="E4" s="204" t="s">
        <v>156</v>
      </c>
      <c r="F4" s="204" t="s">
        <v>155</v>
      </c>
      <c r="G4" s="204" t="s">
        <v>166</v>
      </c>
      <c r="H4" s="232" t="s">
        <v>111</v>
      </c>
      <c r="I4" s="204" t="s">
        <v>110</v>
      </c>
      <c r="J4" s="204" t="s">
        <v>144</v>
      </c>
      <c r="K4" s="204" t="s">
        <v>156</v>
      </c>
      <c r="L4" s="204" t="s">
        <v>155</v>
      </c>
      <c r="M4" s="204" t="s">
        <v>166</v>
      </c>
    </row>
    <row r="5" spans="2:13" ht="53.25" customHeight="1">
      <c r="B5" s="210"/>
      <c r="C5" s="210"/>
      <c r="D5" s="210"/>
      <c r="E5" s="205"/>
      <c r="F5" s="205"/>
      <c r="G5" s="205"/>
      <c r="H5" s="233"/>
      <c r="I5" s="205"/>
      <c r="J5" s="205"/>
      <c r="K5" s="205"/>
      <c r="L5" s="205"/>
      <c r="M5" s="205"/>
    </row>
    <row r="6" spans="2:14" ht="12.75">
      <c r="B6" s="115" t="s">
        <v>74</v>
      </c>
      <c r="C6" s="138">
        <v>3577</v>
      </c>
      <c r="D6" s="139">
        <f>+C6/$C$17</f>
        <v>0.08837990759271613</v>
      </c>
      <c r="E6" s="140">
        <v>6831</v>
      </c>
      <c r="F6" s="141">
        <f>+E6/$E$17</f>
        <v>0.04015495309083214</v>
      </c>
      <c r="G6" s="142">
        <v>48.5</v>
      </c>
      <c r="H6" s="155" t="s">
        <v>27</v>
      </c>
      <c r="I6" s="156">
        <v>12</v>
      </c>
      <c r="J6" s="157">
        <f>+I6/$I$17</f>
        <v>0.0002964939589355867</v>
      </c>
      <c r="K6" s="156">
        <v>1370</v>
      </c>
      <c r="L6" s="157">
        <f>+K6/$K$17</f>
        <v>0.0080533283171483</v>
      </c>
      <c r="M6" s="158">
        <v>84.7</v>
      </c>
      <c r="N6" s="126"/>
    </row>
    <row r="7" spans="2:14" ht="12.75">
      <c r="B7" s="115" t="s">
        <v>31</v>
      </c>
      <c r="C7" s="138">
        <v>2700</v>
      </c>
      <c r="D7" s="139">
        <f aca="true" t="shared" si="0" ref="D7:D15">+C7/$C$17</f>
        <v>0.066711140760507</v>
      </c>
      <c r="E7" s="138">
        <v>4762</v>
      </c>
      <c r="F7" s="139">
        <f aca="true" t="shared" si="1" ref="F7:F15">+E7/$E$17</f>
        <v>0.027992663829387008</v>
      </c>
      <c r="G7" s="143">
        <v>53.3</v>
      </c>
      <c r="H7" s="134" t="s">
        <v>61</v>
      </c>
      <c r="I7" s="135">
        <v>13</v>
      </c>
      <c r="J7" s="136">
        <f aca="true" t="shared" si="2" ref="J7:J13">+I7/$I$17</f>
        <v>0.00032120178884688556</v>
      </c>
      <c r="K7" s="135">
        <v>580</v>
      </c>
      <c r="L7" s="136">
        <f>+K7/$K$17</f>
        <v>0.0034094382656540243</v>
      </c>
      <c r="M7" s="137">
        <v>87.9</v>
      </c>
      <c r="N7" s="10"/>
    </row>
    <row r="8" spans="2:15" ht="12.75">
      <c r="B8" s="115" t="s">
        <v>39</v>
      </c>
      <c r="C8" s="138">
        <v>2089</v>
      </c>
      <c r="D8" s="139">
        <f t="shared" si="0"/>
        <v>0.05161465668470338</v>
      </c>
      <c r="E8" s="138">
        <v>7360</v>
      </c>
      <c r="F8" s="139">
        <f t="shared" si="1"/>
        <v>0.043264595922782104</v>
      </c>
      <c r="G8" s="143">
        <v>54.3</v>
      </c>
      <c r="H8" s="134" t="s">
        <v>59</v>
      </c>
      <c r="I8" s="135">
        <v>14</v>
      </c>
      <c r="J8" s="136">
        <f t="shared" si="2"/>
        <v>0.0003459096187581845</v>
      </c>
      <c r="K8" s="135">
        <v>516</v>
      </c>
      <c r="L8" s="136">
        <f aca="true" t="shared" si="3" ref="L8:L13">+K8/$K$17</f>
        <v>0.003033224388064615</v>
      </c>
      <c r="M8" s="137">
        <v>83.3</v>
      </c>
      <c r="N8" s="10"/>
      <c r="O8" s="117"/>
    </row>
    <row r="9" spans="2:15" ht="12.75">
      <c r="B9" s="115" t="s">
        <v>49</v>
      </c>
      <c r="C9" s="116">
        <v>1615</v>
      </c>
      <c r="D9" s="123">
        <f t="shared" si="0"/>
        <v>0.03990314530674771</v>
      </c>
      <c r="E9" s="116">
        <v>2593</v>
      </c>
      <c r="F9" s="123">
        <f t="shared" si="1"/>
        <v>0.015242540384208423</v>
      </c>
      <c r="G9" s="117">
        <v>46.1</v>
      </c>
      <c r="H9" s="134" t="s">
        <v>58</v>
      </c>
      <c r="I9" s="135">
        <v>14</v>
      </c>
      <c r="J9" s="136">
        <f t="shared" si="2"/>
        <v>0.0003459096187581845</v>
      </c>
      <c r="K9" s="135">
        <v>462</v>
      </c>
      <c r="L9" s="136">
        <f t="shared" si="3"/>
        <v>0.0027157939288485504</v>
      </c>
      <c r="M9" s="137">
        <v>73.3</v>
      </c>
      <c r="N9" s="7"/>
      <c r="O9" s="159"/>
    </row>
    <row r="10" spans="2:15" ht="12.75">
      <c r="B10" s="115" t="s">
        <v>78</v>
      </c>
      <c r="C10" s="116">
        <v>1507</v>
      </c>
      <c r="D10" s="123">
        <f>+C10/$C$17</f>
        <v>0.03723469967632743</v>
      </c>
      <c r="E10" s="116">
        <v>2099</v>
      </c>
      <c r="F10" s="123">
        <f t="shared" si="1"/>
        <v>0.012338639516565168</v>
      </c>
      <c r="G10" s="117">
        <v>50.3</v>
      </c>
      <c r="H10" s="134" t="s">
        <v>60</v>
      </c>
      <c r="I10" s="135">
        <v>15</v>
      </c>
      <c r="J10" s="136">
        <f>+I10/$I$17</f>
        <v>0.00037061744866948335</v>
      </c>
      <c r="K10" s="135">
        <v>386</v>
      </c>
      <c r="L10" s="136">
        <f>+K10/$K$17</f>
        <v>0.0022690399492111264</v>
      </c>
      <c r="M10" s="137">
        <v>80.6</v>
      </c>
      <c r="O10" s="235"/>
    </row>
    <row r="11" spans="2:15" ht="12.75">
      <c r="B11" s="115" t="s">
        <v>64</v>
      </c>
      <c r="C11" s="138">
        <v>1441</v>
      </c>
      <c r="D11" s="139">
        <f>+C11/$C$17</f>
        <v>0.035603982902181704</v>
      </c>
      <c r="E11" s="138">
        <v>2981</v>
      </c>
      <c r="F11" s="139">
        <f t="shared" si="1"/>
        <v>0.01752333701709422</v>
      </c>
      <c r="G11" s="143">
        <v>37.6</v>
      </c>
      <c r="H11" s="124" t="s">
        <v>14</v>
      </c>
      <c r="I11" s="116">
        <v>16</v>
      </c>
      <c r="J11" s="123">
        <f>+I11/$I$17</f>
        <v>0.0003953252785807823</v>
      </c>
      <c r="K11" s="116">
        <v>1588</v>
      </c>
      <c r="L11" s="123">
        <f>+K11/$K$17</f>
        <v>0.009334806837687224</v>
      </c>
      <c r="M11" s="117">
        <v>89.4</v>
      </c>
      <c r="O11" s="159"/>
    </row>
    <row r="12" spans="2:15" ht="12.75">
      <c r="B12" s="115" t="s">
        <v>139</v>
      </c>
      <c r="C12" s="116">
        <v>1325</v>
      </c>
      <c r="D12" s="123">
        <f>+C12/$C$17</f>
        <v>0.03273787463247103</v>
      </c>
      <c r="E12" s="116">
        <v>2612</v>
      </c>
      <c r="F12" s="123">
        <f>+E12/$E$17</f>
        <v>0.015354228879117778</v>
      </c>
      <c r="G12" s="117">
        <v>59.2</v>
      </c>
      <c r="H12" s="124" t="s">
        <v>21</v>
      </c>
      <c r="I12" s="116">
        <v>24</v>
      </c>
      <c r="J12" s="123">
        <f t="shared" si="2"/>
        <v>0.0005929879178711734</v>
      </c>
      <c r="K12" s="116">
        <v>1240</v>
      </c>
      <c r="L12" s="123">
        <f t="shared" si="3"/>
        <v>0.007289143878294811</v>
      </c>
      <c r="M12" s="117">
        <v>82.8</v>
      </c>
      <c r="O12" s="159"/>
    </row>
    <row r="13" spans="1:15" ht="12.75">
      <c r="A13" s="18"/>
      <c r="B13" s="115" t="s">
        <v>62</v>
      </c>
      <c r="C13" s="138">
        <v>1230</v>
      </c>
      <c r="D13" s="139">
        <f>+C13/$C$17</f>
        <v>0.030390630790897634</v>
      </c>
      <c r="E13" s="138">
        <v>6562</v>
      </c>
      <c r="F13" s="139">
        <f>+E13/$E$17</f>
        <v>0.03857367913658915</v>
      </c>
      <c r="G13" s="143">
        <v>51.3</v>
      </c>
      <c r="H13" s="124" t="s">
        <v>112</v>
      </c>
      <c r="I13" s="116">
        <v>28</v>
      </c>
      <c r="J13" s="123">
        <f t="shared" si="2"/>
        <v>0.000691819237516369</v>
      </c>
      <c r="K13" s="116">
        <v>1109</v>
      </c>
      <c r="L13" s="123">
        <f t="shared" si="3"/>
        <v>0.006519081097603988</v>
      </c>
      <c r="M13" s="117">
        <v>58.2</v>
      </c>
      <c r="N13" s="10"/>
      <c r="O13" s="33"/>
    </row>
    <row r="14" spans="2:15" ht="12.75">
      <c r="B14" s="115" t="s">
        <v>76</v>
      </c>
      <c r="C14" s="138">
        <v>1159</v>
      </c>
      <c r="D14" s="139">
        <f t="shared" si="0"/>
        <v>0.028636374867195415</v>
      </c>
      <c r="E14" s="138">
        <v>2243</v>
      </c>
      <c r="F14" s="139">
        <f t="shared" si="1"/>
        <v>0.013185120741141339</v>
      </c>
      <c r="G14" s="143">
        <v>36.9</v>
      </c>
      <c r="H14" s="134" t="s">
        <v>54</v>
      </c>
      <c r="I14" s="135">
        <v>40</v>
      </c>
      <c r="J14" s="136">
        <f>+I14/$I$17</f>
        <v>0.0009883131964519556</v>
      </c>
      <c r="K14" s="135">
        <v>838</v>
      </c>
      <c r="L14" s="136">
        <f>+K14/$K$17</f>
        <v>0.004926050459686332</v>
      </c>
      <c r="M14" s="137">
        <v>71.7</v>
      </c>
      <c r="N14" s="10"/>
      <c r="O14" s="10"/>
    </row>
    <row r="15" spans="2:13" ht="12.75">
      <c r="B15" s="132" t="s">
        <v>102</v>
      </c>
      <c r="C15" s="128">
        <v>1110</v>
      </c>
      <c r="D15" s="144">
        <f t="shared" si="0"/>
        <v>0.027425691201541768</v>
      </c>
      <c r="E15" s="128">
        <v>3904</v>
      </c>
      <c r="F15" s="144">
        <f t="shared" si="1"/>
        <v>0.022949046532953984</v>
      </c>
      <c r="G15" s="163">
        <v>68.4</v>
      </c>
      <c r="H15" s="145" t="s">
        <v>168</v>
      </c>
      <c r="I15" s="146">
        <v>50</v>
      </c>
      <c r="J15" s="147">
        <f>+I15/$I$17</f>
        <v>0.0012353914955649445</v>
      </c>
      <c r="K15" s="146">
        <v>1210</v>
      </c>
      <c r="L15" s="147">
        <f>+K15/$K$17</f>
        <v>0.007112793623174775</v>
      </c>
      <c r="M15" s="148">
        <v>71.4</v>
      </c>
    </row>
    <row r="16" spans="2:15" ht="12.75">
      <c r="B16" s="118" t="s">
        <v>84</v>
      </c>
      <c r="C16" s="119">
        <f>SUM(C6:C15)</f>
        <v>17753</v>
      </c>
      <c r="D16" s="122">
        <f>SUM(D6:D15)</f>
        <v>0.43863810441528917</v>
      </c>
      <c r="E16" s="119">
        <f>SUM(E6:E15)</f>
        <v>41947</v>
      </c>
      <c r="F16" s="122">
        <f>SUM(F6:F15)</f>
        <v>0.2465788050506713</v>
      </c>
      <c r="G16" s="126">
        <f>+(G6+G7+G8+G9+G10+G11+G13+G12+G14+G15)/10</f>
        <v>50.589999999999996</v>
      </c>
      <c r="H16" s="129" t="s">
        <v>84</v>
      </c>
      <c r="I16" s="119">
        <f>SUM(I6:I15)</f>
        <v>226</v>
      </c>
      <c r="J16" s="130">
        <f>SUM(J6:J15)</f>
        <v>0.005583969559953549</v>
      </c>
      <c r="K16" s="119">
        <f>SUM(K6:K15)</f>
        <v>9299</v>
      </c>
      <c r="L16" s="130">
        <f>SUM(L6:L15)</f>
        <v>0.05466270074537374</v>
      </c>
      <c r="M16" s="126">
        <f>+(M6+M7+M8+M9+M10+M11+M12+M13+M14+M15)/10</f>
        <v>78.33000000000001</v>
      </c>
      <c r="O16" s="10"/>
    </row>
    <row r="17" spans="2:13" s="121" customFormat="1" ht="15" customHeight="1">
      <c r="B17" s="120" t="s">
        <v>108</v>
      </c>
      <c r="C17" s="119">
        <f>+'Total Costa Rica'!C5</f>
        <v>40473</v>
      </c>
      <c r="D17" s="122">
        <v>1</v>
      </c>
      <c r="E17" s="119">
        <v>170116</v>
      </c>
      <c r="F17" s="122">
        <v>1</v>
      </c>
      <c r="G17" s="122" t="s">
        <v>145</v>
      </c>
      <c r="H17" s="125" t="s">
        <v>108</v>
      </c>
      <c r="I17" s="119">
        <f>+C17</f>
        <v>40473</v>
      </c>
      <c r="J17" s="130">
        <v>1</v>
      </c>
      <c r="K17" s="119">
        <v>170116</v>
      </c>
      <c r="L17" s="131">
        <v>1</v>
      </c>
      <c r="M17" s="122" t="s">
        <v>145</v>
      </c>
    </row>
    <row r="18" spans="2:13" ht="12.75" customHeight="1">
      <c r="B18" s="228" t="s">
        <v>167</v>
      </c>
      <c r="C18" s="228"/>
      <c r="D18" s="228"/>
      <c r="E18" s="228"/>
      <c r="F18" s="228"/>
      <c r="G18" s="228"/>
      <c r="H18" s="228"/>
      <c r="I18" s="228"/>
      <c r="J18" s="228"/>
      <c r="K18" s="228"/>
      <c r="L18" s="228"/>
      <c r="M18" s="228"/>
    </row>
    <row r="19" spans="2:12" ht="12.75" customHeight="1">
      <c r="B19" s="127"/>
      <c r="C19" s="127"/>
      <c r="D19" s="127"/>
      <c r="E19" s="127"/>
      <c r="F19" s="127"/>
      <c r="G19" s="127"/>
      <c r="H19" s="127"/>
      <c r="I19" s="127"/>
      <c r="J19" s="127"/>
      <c r="K19" s="127"/>
      <c r="L19" s="127"/>
    </row>
    <row r="20" spans="2:15" ht="183" customHeight="1">
      <c r="B20" s="229" t="s">
        <v>202</v>
      </c>
      <c r="C20" s="230"/>
      <c r="D20" s="230"/>
      <c r="E20" s="230"/>
      <c r="F20" s="230"/>
      <c r="G20" s="230"/>
      <c r="H20" s="230"/>
      <c r="I20" s="230"/>
      <c r="J20" s="230"/>
      <c r="K20" s="230"/>
      <c r="L20" s="230"/>
      <c r="M20" s="231"/>
      <c r="O20" s="33"/>
    </row>
    <row r="21" ht="12.75">
      <c r="F21" s="10"/>
    </row>
    <row r="22" spans="3:13" ht="12.75">
      <c r="C22" s="18"/>
      <c r="E22" s="10"/>
      <c r="J22" s="30"/>
      <c r="L22" s="123"/>
      <c r="M22" s="33"/>
    </row>
    <row r="23" spans="6:13" ht="12.75">
      <c r="F23" s="18"/>
      <c r="G23" s="33"/>
      <c r="H23" s="164"/>
      <c r="I23" s="116"/>
      <c r="J23" s="123"/>
      <c r="K23" s="165"/>
      <c r="L23" s="123"/>
      <c r="M23" s="117"/>
    </row>
    <row r="24" spans="6:13" ht="12.75">
      <c r="F24" s="18"/>
      <c r="G24" s="33"/>
      <c r="J24" s="30"/>
      <c r="K24" s="30"/>
      <c r="L24" s="123"/>
      <c r="M24" s="33"/>
    </row>
    <row r="25" spans="6:13" ht="12.75">
      <c r="F25" s="29"/>
      <c r="J25" s="30"/>
      <c r="L25" s="123"/>
      <c r="M25" s="33"/>
    </row>
    <row r="26" spans="10:12" ht="12.75">
      <c r="J26" s="30"/>
      <c r="L26" s="123"/>
    </row>
    <row r="27" spans="10:12" ht="12.75">
      <c r="J27" s="30"/>
      <c r="L27" s="123"/>
    </row>
    <row r="28" spans="10:12" ht="12.75">
      <c r="J28" s="30"/>
      <c r="L28" s="123"/>
    </row>
    <row r="29" spans="10:12" ht="12.75">
      <c r="J29" s="30"/>
      <c r="L29" s="123"/>
    </row>
    <row r="30" spans="10:12" ht="12.75">
      <c r="J30" s="30"/>
      <c r="L30" s="123"/>
    </row>
    <row r="31" spans="10:12" ht="12.75">
      <c r="J31" s="30"/>
      <c r="L31" s="123"/>
    </row>
    <row r="32" spans="10:12" ht="12.75">
      <c r="J32" s="30"/>
      <c r="L32" s="123"/>
    </row>
    <row r="34" ht="12.75">
      <c r="L34" s="10"/>
    </row>
  </sheetData>
  <sheetProtection/>
  <mergeCells count="15">
    <mergeCell ref="D4:D5"/>
    <mergeCell ref="H4:H5"/>
    <mergeCell ref="I4:I5"/>
    <mergeCell ref="K4:K5"/>
    <mergeCell ref="B3:M3"/>
    <mergeCell ref="B18:M18"/>
    <mergeCell ref="B20:M20"/>
    <mergeCell ref="L4:L5"/>
    <mergeCell ref="G4:G5"/>
    <mergeCell ref="M4:M5"/>
    <mergeCell ref="J4:J5"/>
    <mergeCell ref="B4:B5"/>
    <mergeCell ref="C4:C5"/>
    <mergeCell ref="E4:E5"/>
    <mergeCell ref="F4:F5"/>
  </mergeCells>
  <printOptions horizontalCentered="1" verticalCentered="1"/>
  <pageMargins left="1.4566929133858268" right="2.047244094488189" top="0.8267716535433072" bottom="0.984251968503937" header="0.5118110236220472" footer="0.5118110236220472"/>
  <pageSetup horizontalDpi="600" verticalDpi="600" orientation="landscape" scale="90" r:id="rId1"/>
</worksheet>
</file>

<file path=xl/worksheets/sheet15.xml><?xml version="1.0" encoding="utf-8"?>
<worksheet xmlns="http://schemas.openxmlformats.org/spreadsheetml/2006/main" xmlns:r="http://schemas.openxmlformats.org/officeDocument/2006/relationships">
  <dimension ref="B2:I21"/>
  <sheetViews>
    <sheetView showGridLines="0" zoomScalePageLayoutView="0" workbookViewId="0" topLeftCell="A1">
      <selection activeCell="B21" sqref="B21:I21"/>
    </sheetView>
  </sheetViews>
  <sheetFormatPr defaultColWidth="11.421875" defaultRowHeight="12.75"/>
  <cols>
    <col min="1" max="1" width="5.140625" style="236" customWidth="1"/>
    <col min="2" max="2" width="22.7109375" style="236" customWidth="1"/>
    <col min="3" max="3" width="20.00390625" style="236" customWidth="1"/>
    <col min="4" max="4" width="15.421875" style="236" customWidth="1"/>
    <col min="5" max="5" width="15.140625" style="236" customWidth="1"/>
    <col min="6" max="6" width="14.421875" style="236" customWidth="1"/>
    <col min="7" max="7" width="16.140625" style="236" customWidth="1"/>
    <col min="8" max="8" width="18.00390625" style="236" customWidth="1"/>
    <col min="9" max="9" width="17.57421875" style="236" customWidth="1"/>
    <col min="10" max="16384" width="11.421875" style="236" customWidth="1"/>
  </cols>
  <sheetData>
    <row r="2" spans="2:9" ht="18.75" customHeight="1">
      <c r="B2" s="238" t="s">
        <v>212</v>
      </c>
      <c r="C2" s="238"/>
      <c r="D2" s="238"/>
      <c r="E2" s="238"/>
      <c r="F2" s="238"/>
      <c r="G2" s="238"/>
      <c r="H2" s="238"/>
      <c r="I2" s="238"/>
    </row>
    <row r="3" spans="2:9" ht="38.25">
      <c r="B3" s="247" t="s">
        <v>137</v>
      </c>
      <c r="C3" s="248" t="s">
        <v>203</v>
      </c>
      <c r="D3" s="248" t="s">
        <v>204</v>
      </c>
      <c r="E3" s="248" t="s">
        <v>205</v>
      </c>
      <c r="F3" s="248" t="s">
        <v>206</v>
      </c>
      <c r="G3" s="249" t="s">
        <v>207</v>
      </c>
      <c r="H3" s="249" t="s">
        <v>208</v>
      </c>
      <c r="I3" s="249" t="s">
        <v>209</v>
      </c>
    </row>
    <row r="4" spans="2:9" ht="15">
      <c r="B4" s="241">
        <v>2000</v>
      </c>
      <c r="C4" s="242">
        <f>+D4+E4</f>
        <v>143317</v>
      </c>
      <c r="D4" s="242">
        <v>131586</v>
      </c>
      <c r="E4" s="242">
        <v>11731</v>
      </c>
      <c r="F4" s="242">
        <v>681</v>
      </c>
      <c r="G4" s="242">
        <v>13656</v>
      </c>
      <c r="H4" s="243">
        <f>+F4/D4</f>
        <v>0.005175322602708495</v>
      </c>
      <c r="I4" s="243">
        <f>+G4/E4</f>
        <v>1.1640951325547695</v>
      </c>
    </row>
    <row r="5" spans="2:9" ht="15">
      <c r="B5" s="244">
        <v>2001</v>
      </c>
      <c r="C5" s="245">
        <f aca="true" t="shared" si="0" ref="C5:C13">+D5+E5</f>
        <v>139106</v>
      </c>
      <c r="D5" s="245">
        <v>132391</v>
      </c>
      <c r="E5" s="245">
        <v>6715</v>
      </c>
      <c r="F5" s="245">
        <v>452</v>
      </c>
      <c r="G5" s="245">
        <v>11405</v>
      </c>
      <c r="H5" s="246">
        <f aca="true" t="shared" si="1" ref="H5:I17">+F5/D5</f>
        <v>0.0034141293592464743</v>
      </c>
      <c r="I5" s="246">
        <f t="shared" si="1"/>
        <v>1.6984363365599404</v>
      </c>
    </row>
    <row r="6" spans="2:9" ht="15">
      <c r="B6" s="244">
        <v>2002</v>
      </c>
      <c r="C6" s="245">
        <f t="shared" si="0"/>
        <v>152380</v>
      </c>
      <c r="D6" s="245">
        <v>144661</v>
      </c>
      <c r="E6" s="245">
        <v>7719</v>
      </c>
      <c r="F6" s="245">
        <v>208</v>
      </c>
      <c r="G6" s="245">
        <v>9029</v>
      </c>
      <c r="H6" s="246">
        <f t="shared" si="1"/>
        <v>0.0014378443395248201</v>
      </c>
      <c r="I6" s="246">
        <f t="shared" si="1"/>
        <v>1.1697111024744138</v>
      </c>
    </row>
    <row r="7" spans="2:9" ht="15">
      <c r="B7" s="244">
        <v>2003</v>
      </c>
      <c r="C7" s="245">
        <f t="shared" si="0"/>
        <v>183444</v>
      </c>
      <c r="D7" s="245">
        <v>174097</v>
      </c>
      <c r="E7" s="245">
        <v>9347</v>
      </c>
      <c r="F7" s="245">
        <v>264</v>
      </c>
      <c r="G7" s="245">
        <v>8185</v>
      </c>
      <c r="H7" s="246">
        <f t="shared" si="1"/>
        <v>0.0015163960320970493</v>
      </c>
      <c r="I7" s="246">
        <f t="shared" si="1"/>
        <v>0.8756820370172248</v>
      </c>
    </row>
    <row r="8" spans="2:9" ht="15">
      <c r="B8" s="244">
        <v>2004</v>
      </c>
      <c r="C8" s="245">
        <f t="shared" si="0"/>
        <v>188610</v>
      </c>
      <c r="D8" s="245">
        <v>177304</v>
      </c>
      <c r="E8" s="245">
        <v>11306</v>
      </c>
      <c r="F8" s="245">
        <v>711</v>
      </c>
      <c r="G8" s="245">
        <v>10857</v>
      </c>
      <c r="H8" s="246">
        <f t="shared" si="1"/>
        <v>0.004010061814736272</v>
      </c>
      <c r="I8" s="246">
        <f t="shared" si="1"/>
        <v>0.960286573500796</v>
      </c>
    </row>
    <row r="9" spans="2:9" ht="15">
      <c r="B9" s="244">
        <v>2005</v>
      </c>
      <c r="C9" s="245">
        <f t="shared" si="0"/>
        <v>185858</v>
      </c>
      <c r="D9" s="245">
        <v>169124</v>
      </c>
      <c r="E9" s="245">
        <v>16734</v>
      </c>
      <c r="F9" s="245">
        <v>493</v>
      </c>
      <c r="G9" s="245">
        <v>9424</v>
      </c>
      <c r="H9" s="246">
        <f t="shared" si="1"/>
        <v>0.002915020931387621</v>
      </c>
      <c r="I9" s="246">
        <f t="shared" si="1"/>
        <v>0.5631648141508306</v>
      </c>
    </row>
    <row r="10" spans="2:9" ht="15">
      <c r="B10" s="244">
        <v>2006</v>
      </c>
      <c r="C10" s="245">
        <f t="shared" si="0"/>
        <v>160091</v>
      </c>
      <c r="D10" s="245">
        <v>148926</v>
      </c>
      <c r="E10" s="245">
        <v>11165</v>
      </c>
      <c r="F10" s="245">
        <v>269</v>
      </c>
      <c r="G10" s="245">
        <v>8487</v>
      </c>
      <c r="H10" s="246">
        <f t="shared" si="1"/>
        <v>0.0018062661993204678</v>
      </c>
      <c r="I10" s="246">
        <f t="shared" si="1"/>
        <v>0.7601433049708912</v>
      </c>
    </row>
    <row r="11" spans="2:9" ht="15">
      <c r="B11" s="244">
        <v>2007</v>
      </c>
      <c r="C11" s="245">
        <f t="shared" si="0"/>
        <v>165995</v>
      </c>
      <c r="D11" s="245">
        <v>151254</v>
      </c>
      <c r="E11" s="245">
        <v>14741</v>
      </c>
      <c r="F11" s="245">
        <v>610</v>
      </c>
      <c r="G11" s="245">
        <v>10832</v>
      </c>
      <c r="H11" s="246">
        <f t="shared" si="1"/>
        <v>0.004032951194679149</v>
      </c>
      <c r="I11" s="246">
        <f t="shared" si="1"/>
        <v>0.7348212468624924</v>
      </c>
    </row>
    <row r="12" spans="2:9" ht="15">
      <c r="B12" s="244">
        <v>2008</v>
      </c>
      <c r="C12" s="245">
        <f t="shared" si="0"/>
        <v>164890</v>
      </c>
      <c r="D12" s="245">
        <v>149060</v>
      </c>
      <c r="E12" s="245">
        <v>15830</v>
      </c>
      <c r="F12" s="245">
        <v>772</v>
      </c>
      <c r="G12" s="245">
        <v>11942</v>
      </c>
      <c r="H12" s="246">
        <f t="shared" si="1"/>
        <v>0.005179122501006306</v>
      </c>
      <c r="I12" s="246">
        <f t="shared" si="1"/>
        <v>0.7543903979785218</v>
      </c>
    </row>
    <row r="13" spans="2:9" ht="15">
      <c r="B13" s="244">
        <v>2009</v>
      </c>
      <c r="C13" s="245">
        <f t="shared" si="0"/>
        <v>174116</v>
      </c>
      <c r="D13" s="245">
        <v>153678</v>
      </c>
      <c r="E13" s="245">
        <v>20438</v>
      </c>
      <c r="F13" s="245">
        <v>834</v>
      </c>
      <c r="G13" s="245">
        <v>8808</v>
      </c>
      <c r="H13" s="246">
        <f t="shared" si="1"/>
        <v>0.005426931636278452</v>
      </c>
      <c r="I13" s="246">
        <f t="shared" si="1"/>
        <v>0.43096193365299934</v>
      </c>
    </row>
    <row r="14" spans="2:9" ht="15">
      <c r="B14" s="244">
        <v>2010</v>
      </c>
      <c r="C14" s="245">
        <v>175423</v>
      </c>
      <c r="D14" s="245">
        <v>152125</v>
      </c>
      <c r="E14" s="245">
        <v>23298</v>
      </c>
      <c r="F14" s="245">
        <v>837</v>
      </c>
      <c r="G14" s="245">
        <v>9885</v>
      </c>
      <c r="H14" s="246">
        <f t="shared" si="1"/>
        <v>0.005502054231717337</v>
      </c>
      <c r="I14" s="246">
        <f t="shared" si="1"/>
        <v>0.42428534638166365</v>
      </c>
    </row>
    <row r="15" spans="2:9" ht="15">
      <c r="B15" s="244">
        <v>2011</v>
      </c>
      <c r="C15" s="245">
        <v>187249</v>
      </c>
      <c r="D15" s="245">
        <v>157217</v>
      </c>
      <c r="E15" s="245">
        <v>30032</v>
      </c>
      <c r="F15" s="245">
        <v>853</v>
      </c>
      <c r="G15" s="245">
        <v>9608</v>
      </c>
      <c r="H15" s="246">
        <f t="shared" si="1"/>
        <v>0.005425621911116482</v>
      </c>
      <c r="I15" s="246">
        <f t="shared" si="1"/>
        <v>0.3199254128929142</v>
      </c>
    </row>
    <row r="16" spans="2:9" ht="15">
      <c r="B16" s="244">
        <v>2012</v>
      </c>
      <c r="C16" s="245">
        <v>183617</v>
      </c>
      <c r="D16" s="245">
        <v>152464</v>
      </c>
      <c r="E16" s="245">
        <v>31153</v>
      </c>
      <c r="F16" s="245">
        <v>662</v>
      </c>
      <c r="G16" s="245">
        <v>8801</v>
      </c>
      <c r="H16" s="246">
        <f t="shared" si="1"/>
        <v>0.004342008605310106</v>
      </c>
      <c r="I16" s="246">
        <f t="shared" si="1"/>
        <v>0.28250890764934355</v>
      </c>
    </row>
    <row r="17" spans="2:9" ht="15">
      <c r="B17" s="244">
        <v>2013</v>
      </c>
      <c r="C17" s="245">
        <v>181166</v>
      </c>
      <c r="D17" s="245">
        <v>153202</v>
      </c>
      <c r="E17" s="245">
        <v>27964</v>
      </c>
      <c r="F17" s="245">
        <v>714</v>
      </c>
      <c r="G17" s="245">
        <v>9347</v>
      </c>
      <c r="H17" s="246">
        <f t="shared" si="1"/>
        <v>0.004660513570318926</v>
      </c>
      <c r="I17" s="246">
        <f t="shared" si="1"/>
        <v>0.33425118008868543</v>
      </c>
    </row>
    <row r="18" spans="2:9" ht="16.5" customHeight="1">
      <c r="B18" s="239" t="s">
        <v>210</v>
      </c>
      <c r="C18" s="239"/>
      <c r="D18" s="239"/>
      <c r="E18" s="239"/>
      <c r="F18" s="239"/>
      <c r="G18" s="239"/>
      <c r="H18" s="239"/>
      <c r="I18" s="239"/>
    </row>
    <row r="19" spans="2:9" ht="15">
      <c r="B19" s="240" t="s">
        <v>211</v>
      </c>
      <c r="C19" s="240"/>
      <c r="D19" s="240"/>
      <c r="E19" s="240"/>
      <c r="F19" s="240"/>
      <c r="G19" s="240"/>
      <c r="H19" s="240"/>
      <c r="I19" s="240"/>
    </row>
    <row r="21" spans="2:9" ht="52.5" customHeight="1">
      <c r="B21" s="250" t="s">
        <v>213</v>
      </c>
      <c r="C21" s="237"/>
      <c r="D21" s="237"/>
      <c r="E21" s="237"/>
      <c r="F21" s="237"/>
      <c r="G21" s="237"/>
      <c r="H21" s="237"/>
      <c r="I21" s="251"/>
    </row>
  </sheetData>
  <sheetProtection/>
  <mergeCells count="4">
    <mergeCell ref="B2:I2"/>
    <mergeCell ref="B18:I18"/>
    <mergeCell ref="B19:I19"/>
    <mergeCell ref="B21:I21"/>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K37"/>
  <sheetViews>
    <sheetView showGridLines="0" zoomScalePageLayoutView="0" workbookViewId="0" topLeftCell="A1">
      <selection activeCell="B8" sqref="B8:E8"/>
    </sheetView>
  </sheetViews>
  <sheetFormatPr defaultColWidth="11.421875" defaultRowHeight="12.75"/>
  <cols>
    <col min="2" max="2" width="18.140625" style="0" bestFit="1" customWidth="1"/>
    <col min="3" max="3" width="11.140625" style="0" customWidth="1"/>
    <col min="4" max="4" width="20.140625" style="0" customWidth="1"/>
    <col min="5" max="5" width="16.140625" style="0" customWidth="1"/>
    <col min="7" max="7" width="12.421875" style="0" bestFit="1" customWidth="1"/>
    <col min="8" max="8" width="16.421875" style="0" bestFit="1" customWidth="1"/>
  </cols>
  <sheetData>
    <row r="1" ht="18.75" customHeight="1"/>
    <row r="2" spans="2:5" ht="42.75" customHeight="1">
      <c r="B2" s="185" t="s">
        <v>174</v>
      </c>
      <c r="C2" s="185"/>
      <c r="D2" s="185"/>
      <c r="E2" s="185"/>
    </row>
    <row r="3" spans="2:5" ht="3" customHeight="1">
      <c r="B3" s="186"/>
      <c r="C3" s="186"/>
      <c r="D3" s="186"/>
      <c r="E3" s="186"/>
    </row>
    <row r="4" spans="2:5" ht="42.75" customHeight="1">
      <c r="B4" s="48"/>
      <c r="C4" s="49" t="s">
        <v>1</v>
      </c>
      <c r="D4" s="49" t="s">
        <v>130</v>
      </c>
      <c r="E4" s="49" t="s">
        <v>131</v>
      </c>
    </row>
    <row r="5" spans="2:5" ht="24.75" customHeight="1">
      <c r="B5" s="47" t="s">
        <v>79</v>
      </c>
      <c r="C5" s="50">
        <v>40473</v>
      </c>
      <c r="D5" s="50">
        <v>281459</v>
      </c>
      <c r="E5" s="50">
        <f>((281459461486.41/529.85)*100)/1000000</f>
        <v>53120.5929010871</v>
      </c>
    </row>
    <row r="6" spans="2:5" ht="15" customHeight="1">
      <c r="B6" s="187" t="s">
        <v>154</v>
      </c>
      <c r="C6" s="187"/>
      <c r="D6" s="187"/>
      <c r="E6" s="187"/>
    </row>
    <row r="7" spans="2:7" ht="8.25" customHeight="1">
      <c r="B7" s="51"/>
      <c r="C7" s="51"/>
      <c r="D7" s="51"/>
      <c r="E7" s="51"/>
      <c r="G7" s="162"/>
    </row>
    <row r="8" spans="2:5" ht="22.5" customHeight="1">
      <c r="B8" s="188" t="s">
        <v>173</v>
      </c>
      <c r="C8" s="189"/>
      <c r="D8" s="189"/>
      <c r="E8" s="190"/>
    </row>
    <row r="9" spans="2:8" ht="12.75">
      <c r="B9" s="21"/>
      <c r="C9" s="21"/>
      <c r="D9" s="21"/>
      <c r="E9" s="21"/>
      <c r="F9" s="28"/>
      <c r="H9" s="3"/>
    </row>
    <row r="11" ht="12.75" customHeight="1">
      <c r="F11" s="34"/>
    </row>
    <row r="12" spans="8:9" ht="12.75">
      <c r="H12" s="149"/>
      <c r="I12" s="150"/>
    </row>
    <row r="13" spans="8:9" ht="12.75">
      <c r="H13" s="152"/>
      <c r="I13" s="150"/>
    </row>
    <row r="14" spans="7:9" ht="12.75">
      <c r="G14" s="3"/>
      <c r="H14" s="150"/>
      <c r="I14" s="150"/>
    </row>
    <row r="15" spans="7:9" ht="12.75">
      <c r="G15" s="3"/>
      <c r="H15" s="150"/>
      <c r="I15" s="150"/>
    </row>
    <row r="16" spans="8:9" ht="12.75">
      <c r="H16" s="150"/>
      <c r="I16" s="150"/>
    </row>
    <row r="17" spans="8:9" ht="12.75">
      <c r="H17" s="150"/>
      <c r="I17" s="150"/>
    </row>
    <row r="18" spans="8:9" ht="12.75">
      <c r="H18" s="150"/>
      <c r="I18" s="150"/>
    </row>
    <row r="21" ht="12.75">
      <c r="K21" s="3"/>
    </row>
    <row r="22" ht="12.75">
      <c r="I22" s="3"/>
    </row>
    <row r="32" spans="1:5" ht="12.75" hidden="1">
      <c r="A32" s="150"/>
      <c r="B32">
        <f>139.49+139.83+140.27+140.56+140.44+141.11+142.03+143.09+144.05+144.68+145.05+145.27+146.25+147.07+147.56+147.94+147.71+148.06+148.5+149.86+150.12+150.55+151.15+152.11+153.61+153.85+153.39+154.2+154.31+154.99+156.25+156.68+158.74+160.36+160.53+161.7+161.73+161.76+162.31+162.38+162.59+161.36+161.63+162.45+163.66+164.75+165.76+167.65</f>
        <v>7329.389999999999</v>
      </c>
      <c r="C32" s="150"/>
      <c r="D32" s="150"/>
      <c r="E32" s="150"/>
    </row>
    <row r="33" spans="1:5" ht="12.75" hidden="1">
      <c r="A33" s="150"/>
      <c r="B33" s="4">
        <f>+B32/48</f>
        <v>152.69562499999998</v>
      </c>
      <c r="C33" s="150"/>
      <c r="D33" s="150"/>
      <c r="E33" s="150"/>
    </row>
    <row r="34" spans="1:5" ht="12.75" hidden="1">
      <c r="A34" s="150"/>
      <c r="B34" s="150"/>
      <c r="C34" s="150"/>
      <c r="D34" s="154"/>
      <c r="E34" s="150"/>
    </row>
    <row r="35" spans="2:4" ht="12.75" hidden="1">
      <c r="B35" s="3">
        <f>+B33*3.47</f>
        <v>529.85381875</v>
      </c>
      <c r="D35" s="154"/>
    </row>
    <row r="36" spans="2:4" ht="12.75">
      <c r="B36" s="3"/>
      <c r="D36" s="154"/>
    </row>
    <row r="37" spans="2:4" ht="12.75">
      <c r="B37" s="4"/>
      <c r="D37" s="154"/>
    </row>
  </sheetData>
  <sheetProtection/>
  <mergeCells count="4">
    <mergeCell ref="B2:E2"/>
    <mergeCell ref="B3:E3"/>
    <mergeCell ref="B6:E6"/>
    <mergeCell ref="B8:E8"/>
  </mergeCells>
  <dataValidations count="1">
    <dataValidation type="date" allowBlank="1" showInputMessage="1" showErrorMessage="1" sqref="D34:D37">
      <formula1>40921</formula1>
      <formula2>41287</formula2>
    </dataValidation>
  </dataValidations>
  <printOptions horizontalCentered="1" verticalCentered="1"/>
  <pageMargins left="0.7480314960629921" right="0.7480314960629921" top="0.984251968503937" bottom="0.984251968503937"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B2:K23"/>
  <sheetViews>
    <sheetView showGridLines="0" zoomScalePageLayoutView="0" workbookViewId="0" topLeftCell="A1">
      <selection activeCell="B14" sqref="B14:I14"/>
    </sheetView>
  </sheetViews>
  <sheetFormatPr defaultColWidth="11.421875" defaultRowHeight="12.75"/>
  <cols>
    <col min="2" max="2" width="21.00390625" style="0" customWidth="1"/>
    <col min="3" max="3" width="15.7109375" style="0" customWidth="1"/>
    <col min="4" max="4" width="18.28125" style="0" bestFit="1" customWidth="1"/>
    <col min="5" max="5" width="20.57421875" style="0" customWidth="1"/>
    <col min="6" max="6" width="13.140625" style="0" customWidth="1"/>
    <col min="7" max="7" width="13.421875" style="0" customWidth="1"/>
    <col min="8" max="8" width="13.28125" style="0" customWidth="1"/>
    <col min="9" max="9" width="11.57421875" style="0" bestFit="1" customWidth="1"/>
    <col min="10" max="10" width="13.8515625" style="0" bestFit="1" customWidth="1"/>
  </cols>
  <sheetData>
    <row r="2" spans="2:9" ht="30" customHeight="1">
      <c r="B2" s="185" t="s">
        <v>175</v>
      </c>
      <c r="C2" s="185"/>
      <c r="D2" s="185"/>
      <c r="E2" s="185"/>
      <c r="F2" s="185"/>
      <c r="G2" s="185"/>
      <c r="H2" s="185"/>
      <c r="I2" s="185"/>
    </row>
    <row r="3" spans="2:9" ht="3" customHeight="1">
      <c r="B3" s="186"/>
      <c r="C3" s="186"/>
      <c r="D3" s="186"/>
      <c r="E3" s="186"/>
      <c r="F3" s="186"/>
      <c r="G3" s="186"/>
      <c r="H3" s="186"/>
      <c r="I3" s="186"/>
    </row>
    <row r="4" spans="2:9" ht="50.25" customHeight="1">
      <c r="B4" s="49" t="s">
        <v>99</v>
      </c>
      <c r="C4" s="49" t="s">
        <v>138</v>
      </c>
      <c r="D4" s="49" t="s">
        <v>123</v>
      </c>
      <c r="E4" s="49" t="s">
        <v>143</v>
      </c>
      <c r="F4" s="55" t="s">
        <v>135</v>
      </c>
      <c r="G4" s="55" t="s">
        <v>169</v>
      </c>
      <c r="H4" s="55" t="s">
        <v>170</v>
      </c>
      <c r="I4" s="55" t="s">
        <v>165</v>
      </c>
    </row>
    <row r="5" spans="2:11" ht="12.75">
      <c r="B5" s="52" t="s">
        <v>105</v>
      </c>
      <c r="C5" s="57">
        <f>+'Región Central'!C50</f>
        <v>13964</v>
      </c>
      <c r="D5" s="59">
        <f>+'Región Central'!D50</f>
        <v>96983729196.8</v>
      </c>
      <c r="E5" s="57">
        <f>+'Región Central'!E50</f>
        <v>18303997206.15268</v>
      </c>
      <c r="F5" s="57">
        <f>+D5/C5</f>
        <v>6945268.490174735</v>
      </c>
      <c r="G5" s="58">
        <v>7.72</v>
      </c>
      <c r="H5" s="58">
        <v>51.7</v>
      </c>
      <c r="I5" s="58">
        <v>67.8</v>
      </c>
      <c r="J5" s="31"/>
      <c r="K5" s="58"/>
    </row>
    <row r="6" spans="2:11" ht="12.75">
      <c r="B6" s="52" t="s">
        <v>103</v>
      </c>
      <c r="C6" s="59">
        <f>+'Región Chorotega'!C16</f>
        <v>3967</v>
      </c>
      <c r="D6" s="59">
        <f>+'Región Chorotega'!D16</f>
        <v>29336114653</v>
      </c>
      <c r="E6" s="59">
        <f>+'Región Chorotega'!E16</f>
        <v>5536682958.006983</v>
      </c>
      <c r="F6" s="59">
        <f aca="true" t="shared" si="0" ref="F6:F11">+D6/C6</f>
        <v>7395037.724476934</v>
      </c>
      <c r="G6" s="58">
        <v>11.21</v>
      </c>
      <c r="H6" s="58">
        <v>8.9</v>
      </c>
      <c r="I6" s="58">
        <v>55.9</v>
      </c>
      <c r="J6" s="31"/>
      <c r="K6" s="58"/>
    </row>
    <row r="7" spans="2:11" ht="12.75">
      <c r="B7" s="52" t="s">
        <v>129</v>
      </c>
      <c r="C7" s="59">
        <f>+'Región Pacífico Central'!C13</f>
        <v>2331</v>
      </c>
      <c r="D7" s="59">
        <f>+'Región Pacífico Central'!D13</f>
        <v>19013049941</v>
      </c>
      <c r="E7" s="59">
        <f>+'Región Pacífico Central'!E13</f>
        <v>3588383493.630273</v>
      </c>
      <c r="F7" s="59">
        <f t="shared" si="0"/>
        <v>8156606.581295582</v>
      </c>
      <c r="G7" s="58">
        <v>11.12</v>
      </c>
      <c r="H7" s="58">
        <v>7.1</v>
      </c>
      <c r="I7" s="58">
        <v>56</v>
      </c>
      <c r="J7" s="31"/>
      <c r="K7" s="58"/>
    </row>
    <row r="8" spans="2:11" ht="12.75">
      <c r="B8" s="52" t="s">
        <v>101</v>
      </c>
      <c r="C8" s="59">
        <f>+'Región Brunca'!C11</f>
        <v>6835</v>
      </c>
      <c r="D8" s="59">
        <f>+'Región Brunca'!D11</f>
        <v>42900649105</v>
      </c>
      <c r="E8" s="59">
        <f>+'Región Brunca'!E11</f>
        <v>8096753629.329056</v>
      </c>
      <c r="F8" s="59">
        <f t="shared" si="0"/>
        <v>6276612.890270665</v>
      </c>
      <c r="G8" s="58">
        <v>9.49</v>
      </c>
      <c r="H8" s="58">
        <v>8.1</v>
      </c>
      <c r="I8" s="58">
        <v>45.1</v>
      </c>
      <c r="J8" s="31"/>
      <c r="K8" s="58"/>
    </row>
    <row r="9" spans="2:11" ht="12.75">
      <c r="B9" s="52" t="s">
        <v>161</v>
      </c>
      <c r="C9" s="59">
        <f>+'Región Huetar Caribe'!C12</f>
        <v>8828</v>
      </c>
      <c r="D9" s="59">
        <f>+'Región Huetar Caribe'!D12</f>
        <v>62842970762.93</v>
      </c>
      <c r="E9" s="59">
        <f>+'Región Huetar Caribe'!E12</f>
        <v>11860521046.131924</v>
      </c>
      <c r="F9" s="59">
        <f t="shared" si="0"/>
        <v>7118596.5975226555</v>
      </c>
      <c r="G9" s="58">
        <v>10.77</v>
      </c>
      <c r="H9" s="58">
        <v>16.1</v>
      </c>
      <c r="I9" s="58">
        <v>45.8</v>
      </c>
      <c r="J9" s="31"/>
      <c r="K9" s="58"/>
    </row>
    <row r="10" spans="2:11" ht="12.75">
      <c r="B10" s="52" t="s">
        <v>104</v>
      </c>
      <c r="C10" s="59">
        <f>+'Región Huetar Norte'!C13</f>
        <v>4548</v>
      </c>
      <c r="D10" s="59">
        <f>+'Región Huetar Norte'!D13</f>
        <v>30382947823.27</v>
      </c>
      <c r="E10" s="59">
        <f>+'Región Huetar Norte'!E13</f>
        <v>5734254567.003869</v>
      </c>
      <c r="F10" s="57">
        <f t="shared" si="0"/>
        <v>6680507.436954705</v>
      </c>
      <c r="G10" s="58">
        <v>9.43</v>
      </c>
      <c r="H10" s="58">
        <v>8.1</v>
      </c>
      <c r="I10" s="58">
        <v>45.8</v>
      </c>
      <c r="J10" s="31"/>
      <c r="K10" s="58"/>
    </row>
    <row r="11" spans="2:11" ht="12.75">
      <c r="B11" s="60" t="s">
        <v>108</v>
      </c>
      <c r="C11" s="61">
        <f>SUM(C5:C10)</f>
        <v>40473</v>
      </c>
      <c r="D11" s="151">
        <f>SUM(D5:D10)</f>
        <v>281459461482</v>
      </c>
      <c r="E11" s="61">
        <f>SUM(E5:E10)</f>
        <v>53120592900.25478</v>
      </c>
      <c r="F11" s="61">
        <f t="shared" si="0"/>
        <v>6954252.501223038</v>
      </c>
      <c r="G11" s="62">
        <v>8.5</v>
      </c>
      <c r="H11" s="61">
        <f>SUM(H5:H10)</f>
        <v>100</v>
      </c>
      <c r="I11" s="62">
        <f>+(I5+I6+I7+I8+I9+I10)/6</f>
        <v>52.73333333333333</v>
      </c>
      <c r="J11" s="31"/>
      <c r="K11" s="58"/>
    </row>
    <row r="12" spans="2:11" ht="12.75">
      <c r="B12" s="187" t="s">
        <v>171</v>
      </c>
      <c r="C12" s="187"/>
      <c r="D12" s="187"/>
      <c r="E12" s="187"/>
      <c r="F12" s="187"/>
      <c r="G12" s="187"/>
      <c r="H12" s="187"/>
      <c r="I12" s="187"/>
      <c r="K12" s="19"/>
    </row>
    <row r="13" spans="2:8" ht="8.25" customHeight="1">
      <c r="B13" s="52"/>
      <c r="C13" s="53"/>
      <c r="D13" s="52"/>
      <c r="E13" s="54"/>
      <c r="F13" s="52"/>
      <c r="G13" s="53"/>
      <c r="H13" s="52"/>
    </row>
    <row r="14" spans="2:11" ht="96.75" customHeight="1">
      <c r="B14" s="191" t="s">
        <v>191</v>
      </c>
      <c r="C14" s="192"/>
      <c r="D14" s="192"/>
      <c r="E14" s="192"/>
      <c r="F14" s="192"/>
      <c r="G14" s="192"/>
      <c r="H14" s="192"/>
      <c r="I14" s="193"/>
      <c r="J14" s="31"/>
      <c r="K14" s="31"/>
    </row>
    <row r="15" spans="2:4" ht="12.75">
      <c r="B15" s="32"/>
      <c r="C15" s="19"/>
      <c r="D15" s="22"/>
    </row>
    <row r="16" spans="3:11" ht="12.75">
      <c r="C16" s="31"/>
      <c r="D16" s="59"/>
      <c r="E16" s="31"/>
      <c r="F16" s="19"/>
      <c r="G16" s="19"/>
      <c r="H16" s="19"/>
      <c r="K16" s="19"/>
    </row>
    <row r="17" spans="2:10" ht="12.75">
      <c r="B17" s="2"/>
      <c r="C17" s="31"/>
      <c r="D17" s="22"/>
      <c r="E17" s="19"/>
      <c r="F17" s="19"/>
      <c r="J17" s="19"/>
    </row>
    <row r="18" spans="2:10" ht="12.75">
      <c r="B18" s="2"/>
      <c r="C18" s="31"/>
      <c r="D18" s="22"/>
      <c r="E18" s="19"/>
      <c r="I18" s="19"/>
      <c r="J18" s="19"/>
    </row>
    <row r="19" spans="2:5" ht="12.75">
      <c r="B19" s="2"/>
      <c r="C19" s="31"/>
      <c r="D19" s="22"/>
      <c r="E19" s="19"/>
    </row>
    <row r="20" spans="2:4" ht="12.75">
      <c r="B20" s="2"/>
      <c r="C20" s="31"/>
      <c r="D20" s="22"/>
    </row>
    <row r="21" spans="2:5" ht="12.75">
      <c r="B21" s="2"/>
      <c r="C21" s="31"/>
      <c r="E21" s="19"/>
    </row>
    <row r="22" spans="2:3" ht="12.75">
      <c r="B22" s="2"/>
      <c r="C22" s="31"/>
    </row>
    <row r="23" spans="5:10" ht="12.75">
      <c r="E23" s="19"/>
      <c r="I23" s="160"/>
      <c r="J23" s="162"/>
    </row>
  </sheetData>
  <sheetProtection/>
  <mergeCells count="4">
    <mergeCell ref="B2:I2"/>
    <mergeCell ref="B12:I12"/>
    <mergeCell ref="B14:I14"/>
    <mergeCell ref="B3:I3"/>
  </mergeCells>
  <printOptions horizontalCentered="1" verticalCentered="1"/>
  <pageMargins left="0.7480314960629921" right="0.7480314960629921" top="0.984251968503937" bottom="0.984251968503937" header="0" footer="0"/>
  <pageSetup horizontalDpi="600" verticalDpi="600" orientation="portrait" scale="85" r:id="rId2"/>
  <ignoredErrors>
    <ignoredError sqref="F11 I11" formula="1"/>
  </ignoredErrors>
  <drawing r:id="rId1"/>
</worksheet>
</file>

<file path=xl/worksheets/sheet4.xml><?xml version="1.0" encoding="utf-8"?>
<worksheet xmlns="http://schemas.openxmlformats.org/spreadsheetml/2006/main" xmlns:r="http://schemas.openxmlformats.org/officeDocument/2006/relationships">
  <dimension ref="B2:G62"/>
  <sheetViews>
    <sheetView showGridLines="0" zoomScalePageLayoutView="0" workbookViewId="0" topLeftCell="A1">
      <selection activeCell="B53" sqref="B53:E53"/>
    </sheetView>
  </sheetViews>
  <sheetFormatPr defaultColWidth="11.421875" defaultRowHeight="12.75"/>
  <cols>
    <col min="1" max="1" width="7.57421875" style="0" customWidth="1"/>
    <col min="2" max="2" width="32.57421875" style="0" bestFit="1" customWidth="1"/>
    <col min="3" max="3" width="9.7109375" style="0" customWidth="1"/>
    <col min="4" max="4" width="20.28125" style="0" customWidth="1"/>
    <col min="5" max="5" width="18.421875" style="0" customWidth="1"/>
    <col min="7" max="7" width="12.7109375" style="0" bestFit="1" customWidth="1"/>
  </cols>
  <sheetData>
    <row r="2" spans="2:7" ht="39" customHeight="1">
      <c r="B2" s="185" t="s">
        <v>176</v>
      </c>
      <c r="C2" s="185"/>
      <c r="D2" s="185"/>
      <c r="E2" s="185"/>
      <c r="G2" s="14"/>
    </row>
    <row r="3" spans="2:7" ht="3" customHeight="1">
      <c r="B3" s="186"/>
      <c r="C3" s="186"/>
      <c r="D3" s="186"/>
      <c r="E3" s="186"/>
      <c r="G3" s="14"/>
    </row>
    <row r="4" spans="2:7" ht="39.75" customHeight="1">
      <c r="B4" s="49" t="s">
        <v>0</v>
      </c>
      <c r="C4" s="49" t="s">
        <v>1</v>
      </c>
      <c r="D4" s="49" t="s">
        <v>123</v>
      </c>
      <c r="E4" s="49" t="s">
        <v>143</v>
      </c>
      <c r="G4" s="14"/>
    </row>
    <row r="5" spans="2:7" ht="12.75">
      <c r="B5" s="52" t="s">
        <v>13</v>
      </c>
      <c r="C5" s="63">
        <v>527</v>
      </c>
      <c r="D5" s="64">
        <v>3182046777</v>
      </c>
      <c r="E5" s="65">
        <f>+(D5/529.85)*100</f>
        <v>600556153.0621874</v>
      </c>
      <c r="G5" s="14"/>
    </row>
    <row r="6" spans="2:7" ht="12.75">
      <c r="B6" s="52" t="s">
        <v>14</v>
      </c>
      <c r="C6" s="56">
        <v>16</v>
      </c>
      <c r="D6" s="64">
        <v>74808000</v>
      </c>
      <c r="E6" s="65">
        <f aca="true" t="shared" si="0" ref="E6:E49">+(D6/529.85)*100</f>
        <v>14118712.843257526</v>
      </c>
      <c r="G6" s="14"/>
    </row>
    <row r="7" spans="2:7" ht="12.75">
      <c r="B7" s="52" t="s">
        <v>15</v>
      </c>
      <c r="C7" s="56">
        <v>673</v>
      </c>
      <c r="D7" s="64">
        <v>4392272253</v>
      </c>
      <c r="E7" s="65">
        <f t="shared" si="0"/>
        <v>828965226.5735586</v>
      </c>
      <c r="G7" s="14"/>
    </row>
    <row r="8" spans="2:7" ht="12.75">
      <c r="B8" s="66" t="s">
        <v>16</v>
      </c>
      <c r="C8" s="56">
        <v>534</v>
      </c>
      <c r="D8" s="64">
        <v>3054612901</v>
      </c>
      <c r="E8" s="65">
        <f t="shared" si="0"/>
        <v>576505218.6467868</v>
      </c>
      <c r="G8" s="14"/>
    </row>
    <row r="9" spans="2:7" ht="12.75">
      <c r="B9" s="66" t="s">
        <v>17</v>
      </c>
      <c r="C9" s="56">
        <v>162</v>
      </c>
      <c r="D9" s="64">
        <v>903022652</v>
      </c>
      <c r="E9" s="65">
        <f t="shared" si="0"/>
        <v>170429867.32093987</v>
      </c>
      <c r="G9" s="14"/>
    </row>
    <row r="10" spans="2:7" ht="12.75">
      <c r="B10" s="66" t="s">
        <v>18</v>
      </c>
      <c r="C10" s="56">
        <v>334</v>
      </c>
      <c r="D10" s="64">
        <v>1771632906</v>
      </c>
      <c r="E10" s="65">
        <f t="shared" si="0"/>
        <v>334364991.22393125</v>
      </c>
      <c r="F10" s="31"/>
      <c r="G10" s="14"/>
    </row>
    <row r="11" spans="2:7" ht="12.75">
      <c r="B11" s="66" t="s">
        <v>19</v>
      </c>
      <c r="C11" s="56">
        <v>283</v>
      </c>
      <c r="D11" s="64">
        <v>1621421326</v>
      </c>
      <c r="E11" s="65">
        <f t="shared" si="0"/>
        <v>306015160.13966215</v>
      </c>
      <c r="G11" s="14"/>
    </row>
    <row r="12" spans="2:7" ht="12.75">
      <c r="B12" s="66" t="s">
        <v>20</v>
      </c>
      <c r="C12" s="56">
        <v>183</v>
      </c>
      <c r="D12" s="64">
        <v>1137208710</v>
      </c>
      <c r="E12" s="65">
        <f t="shared" si="0"/>
        <v>214628425.02595073</v>
      </c>
      <c r="G12" s="14"/>
    </row>
    <row r="13" spans="2:7" ht="12.75">
      <c r="B13" s="66" t="s">
        <v>21</v>
      </c>
      <c r="C13" s="56">
        <v>24</v>
      </c>
      <c r="D13" s="64">
        <v>119848000</v>
      </c>
      <c r="E13" s="65">
        <f t="shared" si="0"/>
        <v>22619231.858073037</v>
      </c>
      <c r="G13" s="14"/>
    </row>
    <row r="14" spans="2:7" ht="12.75">
      <c r="B14" s="66" t="s">
        <v>22</v>
      </c>
      <c r="C14" s="56">
        <v>114</v>
      </c>
      <c r="D14" s="64">
        <v>706858466</v>
      </c>
      <c r="E14" s="65">
        <f t="shared" si="0"/>
        <v>133407278.66377276</v>
      </c>
      <c r="G14" s="14"/>
    </row>
    <row r="15" spans="2:7" ht="12.75">
      <c r="B15" s="66" t="s">
        <v>23</v>
      </c>
      <c r="C15" s="56">
        <v>61</v>
      </c>
      <c r="D15" s="64">
        <v>326938240</v>
      </c>
      <c r="E15" s="65">
        <f t="shared" si="0"/>
        <v>61703923.75200528</v>
      </c>
      <c r="G15" s="14"/>
    </row>
    <row r="16" spans="2:7" ht="12.75">
      <c r="B16" s="66" t="s">
        <v>24</v>
      </c>
      <c r="C16" s="56">
        <v>355</v>
      </c>
      <c r="D16" s="64">
        <v>1908882487</v>
      </c>
      <c r="E16" s="65">
        <f t="shared" si="0"/>
        <v>360268469.75559115</v>
      </c>
      <c r="G16" s="14"/>
    </row>
    <row r="17" spans="2:7" ht="12.75">
      <c r="B17" s="66" t="s">
        <v>25</v>
      </c>
      <c r="C17" s="56">
        <v>70</v>
      </c>
      <c r="D17" s="64">
        <v>380728560</v>
      </c>
      <c r="E17" s="65">
        <f t="shared" si="0"/>
        <v>71855913.93790695</v>
      </c>
      <c r="G17" s="14"/>
    </row>
    <row r="18" spans="2:7" ht="12.75">
      <c r="B18" s="66" t="s">
        <v>26</v>
      </c>
      <c r="C18" s="56">
        <v>73</v>
      </c>
      <c r="D18" s="64">
        <v>384500149</v>
      </c>
      <c r="E18" s="65">
        <f t="shared" si="0"/>
        <v>72567735.96300839</v>
      </c>
      <c r="G18" s="14"/>
    </row>
    <row r="19" spans="2:7" ht="12.75">
      <c r="B19" s="66" t="s">
        <v>27</v>
      </c>
      <c r="C19" s="56">
        <v>12</v>
      </c>
      <c r="D19" s="64">
        <v>62087000</v>
      </c>
      <c r="E19" s="65">
        <f t="shared" si="0"/>
        <v>11717844.673020666</v>
      </c>
      <c r="G19" s="1"/>
    </row>
    <row r="20" spans="2:7" ht="12.75">
      <c r="B20" s="66" t="s">
        <v>28</v>
      </c>
      <c r="C20" s="56">
        <v>117</v>
      </c>
      <c r="D20" s="64">
        <v>713094002</v>
      </c>
      <c r="E20" s="65">
        <f t="shared" si="0"/>
        <v>134584127.9607436</v>
      </c>
      <c r="G20" s="14"/>
    </row>
    <row r="21" spans="2:7" ht="12.75">
      <c r="B21" s="66" t="s">
        <v>29</v>
      </c>
      <c r="C21" s="56">
        <v>55</v>
      </c>
      <c r="D21" s="64">
        <v>288854000</v>
      </c>
      <c r="E21" s="65">
        <f t="shared" si="0"/>
        <v>54516183.82561102</v>
      </c>
      <c r="G21" s="14"/>
    </row>
    <row r="22" spans="2:7" ht="12.75">
      <c r="B22" s="66" t="s">
        <v>30</v>
      </c>
      <c r="C22" s="56">
        <v>74</v>
      </c>
      <c r="D22" s="64">
        <v>382808759</v>
      </c>
      <c r="E22" s="65">
        <f t="shared" si="0"/>
        <v>72248515.42889497</v>
      </c>
      <c r="G22" s="14"/>
    </row>
    <row r="23" spans="2:7" ht="12.75">
      <c r="B23" s="66" t="s">
        <v>32</v>
      </c>
      <c r="C23" s="56">
        <v>143</v>
      </c>
      <c r="D23" s="64">
        <v>804280844</v>
      </c>
      <c r="E23" s="65">
        <f t="shared" si="0"/>
        <v>151794063.22544116</v>
      </c>
      <c r="G23" s="14"/>
    </row>
    <row r="24" spans="2:7" ht="12.75">
      <c r="B24" s="66" t="s">
        <v>114</v>
      </c>
      <c r="C24" s="56">
        <f>587-42</f>
        <v>545</v>
      </c>
      <c r="D24" s="64">
        <f>5355113710-243625973.74</f>
        <v>5111487736.26</v>
      </c>
      <c r="E24" s="65">
        <f t="shared" si="0"/>
        <v>964704677.976786</v>
      </c>
      <c r="G24" s="14"/>
    </row>
    <row r="25" spans="2:7" ht="12.75">
      <c r="B25" s="66" t="s">
        <v>113</v>
      </c>
      <c r="C25" s="56">
        <f>1325-103</f>
        <v>1222</v>
      </c>
      <c r="D25" s="64">
        <f>8624100836-593710546.87</f>
        <v>8030390289.13</v>
      </c>
      <c r="E25" s="65">
        <f t="shared" si="0"/>
        <v>1515596921.6061149</v>
      </c>
      <c r="F25" s="31"/>
      <c r="G25" s="14"/>
    </row>
    <row r="26" spans="2:7" ht="12.75">
      <c r="B26" s="66" t="s">
        <v>115</v>
      </c>
      <c r="C26" s="56">
        <f>494-101</f>
        <v>393</v>
      </c>
      <c r="D26" s="64">
        <f>2627897103-544120115.59</f>
        <v>2083776987.4099998</v>
      </c>
      <c r="E26" s="65">
        <f t="shared" si="0"/>
        <v>393276774.0700198</v>
      </c>
      <c r="G26" s="1"/>
    </row>
    <row r="27" spans="2:7" ht="12.75">
      <c r="B27" s="66" t="s">
        <v>34</v>
      </c>
      <c r="C27" s="56">
        <v>212</v>
      </c>
      <c r="D27" s="64">
        <v>1431121734</v>
      </c>
      <c r="E27" s="65">
        <f t="shared" si="0"/>
        <v>270099411.90903085</v>
      </c>
      <c r="G27" s="27"/>
    </row>
    <row r="28" spans="2:7" ht="12.75">
      <c r="B28" s="66" t="s">
        <v>35</v>
      </c>
      <c r="C28" s="56">
        <v>462</v>
      </c>
      <c r="D28" s="64">
        <v>2543795475</v>
      </c>
      <c r="E28" s="65">
        <f t="shared" si="0"/>
        <v>480097286.9680098</v>
      </c>
      <c r="G28" s="14"/>
    </row>
    <row r="29" spans="2:7" ht="12.75">
      <c r="B29" s="66" t="s">
        <v>36</v>
      </c>
      <c r="C29" s="56">
        <v>315</v>
      </c>
      <c r="D29" s="64">
        <v>1809103927</v>
      </c>
      <c r="E29" s="65">
        <f t="shared" si="0"/>
        <v>341436996.6971784</v>
      </c>
      <c r="G29" s="14"/>
    </row>
    <row r="30" spans="2:7" ht="12.75">
      <c r="B30" s="66" t="s">
        <v>37</v>
      </c>
      <c r="C30" s="56">
        <v>332</v>
      </c>
      <c r="D30" s="64">
        <v>3487843713</v>
      </c>
      <c r="E30" s="65">
        <f t="shared" si="0"/>
        <v>658270022.2704539</v>
      </c>
      <c r="G30" s="14"/>
    </row>
    <row r="31" spans="2:7" ht="12.75">
      <c r="B31" s="66" t="s">
        <v>40</v>
      </c>
      <c r="C31" s="56">
        <v>112</v>
      </c>
      <c r="D31" s="64">
        <v>619428535</v>
      </c>
      <c r="E31" s="65">
        <f t="shared" si="0"/>
        <v>116906395.20619044</v>
      </c>
      <c r="G31" s="14"/>
    </row>
    <row r="32" spans="2:7" ht="12.75">
      <c r="B32" s="66" t="s">
        <v>41</v>
      </c>
      <c r="C32" s="56">
        <v>344</v>
      </c>
      <c r="D32" s="64">
        <v>1600367397</v>
      </c>
      <c r="E32" s="65">
        <f t="shared" si="0"/>
        <v>302041596.1121072</v>
      </c>
      <c r="G32" s="14"/>
    </row>
    <row r="33" spans="2:7" ht="12.75">
      <c r="B33" s="66" t="s">
        <v>53</v>
      </c>
      <c r="C33" s="56">
        <v>383</v>
      </c>
      <c r="D33" s="64">
        <v>3518441607</v>
      </c>
      <c r="E33" s="65">
        <f t="shared" si="0"/>
        <v>664044844.201189</v>
      </c>
      <c r="G33" s="14"/>
    </row>
    <row r="34" spans="2:7" ht="12.75">
      <c r="B34" s="66" t="s">
        <v>54</v>
      </c>
      <c r="C34" s="56">
        <v>40</v>
      </c>
      <c r="D34" s="64">
        <v>209019000</v>
      </c>
      <c r="E34" s="65">
        <f t="shared" si="0"/>
        <v>39448711.899594225</v>
      </c>
      <c r="G34" s="14"/>
    </row>
    <row r="35" spans="2:7" ht="12.75">
      <c r="B35" s="66" t="s">
        <v>55</v>
      </c>
      <c r="C35" s="56">
        <v>173</v>
      </c>
      <c r="D35" s="64">
        <v>2939612291</v>
      </c>
      <c r="E35" s="65">
        <f t="shared" si="0"/>
        <v>554800847.5983769</v>
      </c>
      <c r="G35" s="14"/>
    </row>
    <row r="36" spans="2:7" ht="12.75">
      <c r="B36" s="66" t="s">
        <v>56</v>
      </c>
      <c r="C36" s="56">
        <v>51</v>
      </c>
      <c r="D36" s="64">
        <v>266689007</v>
      </c>
      <c r="E36" s="65">
        <f t="shared" si="0"/>
        <v>50332925.73369821</v>
      </c>
      <c r="G36" s="14"/>
    </row>
    <row r="37" spans="2:7" ht="12.75">
      <c r="B37" s="66" t="s">
        <v>57</v>
      </c>
      <c r="C37" s="56">
        <v>50</v>
      </c>
      <c r="D37" s="64">
        <v>252329522</v>
      </c>
      <c r="E37" s="65">
        <f t="shared" si="0"/>
        <v>47622821.93073511</v>
      </c>
      <c r="G37" s="14"/>
    </row>
    <row r="38" spans="2:7" ht="12.75">
      <c r="B38" s="66" t="s">
        <v>58</v>
      </c>
      <c r="C38" s="56">
        <v>14</v>
      </c>
      <c r="D38" s="64">
        <v>76329000</v>
      </c>
      <c r="E38" s="65">
        <f t="shared" si="0"/>
        <v>14405775.219401717</v>
      </c>
      <c r="G38" s="14"/>
    </row>
    <row r="39" spans="2:7" ht="12.75">
      <c r="B39" s="66" t="s">
        <v>59</v>
      </c>
      <c r="C39" s="56">
        <v>14</v>
      </c>
      <c r="D39" s="64">
        <v>69672665</v>
      </c>
      <c r="E39" s="65">
        <f t="shared" si="0"/>
        <v>13149507.407756912</v>
      </c>
      <c r="G39" s="27"/>
    </row>
    <row r="40" spans="2:7" ht="12.75">
      <c r="B40" s="66" t="s">
        <v>60</v>
      </c>
      <c r="C40" s="56">
        <v>15</v>
      </c>
      <c r="D40" s="64">
        <v>83364000</v>
      </c>
      <c r="E40" s="65">
        <f t="shared" si="0"/>
        <v>15733509.483816175</v>
      </c>
      <c r="G40" s="14"/>
    </row>
    <row r="41" spans="2:7" ht="12.75">
      <c r="B41" s="66" t="s">
        <v>61</v>
      </c>
      <c r="C41" s="56">
        <v>13</v>
      </c>
      <c r="D41" s="64">
        <v>62822000</v>
      </c>
      <c r="E41" s="65">
        <f t="shared" si="0"/>
        <v>11856563.178257996</v>
      </c>
      <c r="G41" s="14"/>
    </row>
    <row r="42" spans="2:7" ht="12.75">
      <c r="B42" s="66" t="s">
        <v>45</v>
      </c>
      <c r="C42" s="56">
        <v>1110</v>
      </c>
      <c r="D42" s="64">
        <v>9277646008</v>
      </c>
      <c r="E42" s="65">
        <f t="shared" si="0"/>
        <v>1750994811.3617058</v>
      </c>
      <c r="G42" s="14"/>
    </row>
    <row r="43" spans="2:7" ht="12.75">
      <c r="B43" s="66" t="s">
        <v>46</v>
      </c>
      <c r="C43" s="56">
        <v>887</v>
      </c>
      <c r="D43" s="64">
        <v>9197546416</v>
      </c>
      <c r="E43" s="65">
        <f t="shared" si="0"/>
        <v>1735877402.2836652</v>
      </c>
      <c r="G43" s="14"/>
    </row>
    <row r="44" spans="2:7" ht="12.75">
      <c r="B44" s="66" t="s">
        <v>47</v>
      </c>
      <c r="C44" s="56">
        <v>251</v>
      </c>
      <c r="D44" s="64">
        <v>1634138050</v>
      </c>
      <c r="E44" s="65">
        <f t="shared" si="0"/>
        <v>308415221.2890441</v>
      </c>
      <c r="G44" s="14"/>
    </row>
    <row r="45" spans="2:7" ht="12.75">
      <c r="B45" s="66" t="s">
        <v>48</v>
      </c>
      <c r="C45" s="56">
        <v>325</v>
      </c>
      <c r="D45" s="64">
        <v>2022249274</v>
      </c>
      <c r="E45" s="65">
        <f t="shared" si="0"/>
        <v>381664485.0429367</v>
      </c>
      <c r="G45" s="14"/>
    </row>
    <row r="46" spans="2:7" ht="12.75">
      <c r="B46" s="66" t="s">
        <v>49</v>
      </c>
      <c r="C46" s="56">
        <v>1615</v>
      </c>
      <c r="D46" s="64">
        <v>10482916069</v>
      </c>
      <c r="E46" s="65">
        <f t="shared" si="0"/>
        <v>1978468636.2177975</v>
      </c>
      <c r="F46" s="31"/>
      <c r="G46" s="153"/>
    </row>
    <row r="47" spans="2:7" ht="12.75">
      <c r="B47" s="66" t="s">
        <v>50</v>
      </c>
      <c r="C47" s="56">
        <v>341</v>
      </c>
      <c r="D47" s="64">
        <v>2403270513</v>
      </c>
      <c r="E47" s="65">
        <f t="shared" si="0"/>
        <v>453575637.06709445</v>
      </c>
      <c r="G47" s="14"/>
    </row>
    <row r="48" spans="2:6" ht="12.75">
      <c r="B48" s="66" t="s">
        <v>51</v>
      </c>
      <c r="C48" s="56">
        <v>730</v>
      </c>
      <c r="D48" s="64">
        <v>4484856949</v>
      </c>
      <c r="E48" s="65">
        <f t="shared" si="0"/>
        <v>846438982.5422289</v>
      </c>
      <c r="F48" s="31"/>
    </row>
    <row r="49" spans="2:5" ht="12.75">
      <c r="B49" s="66" t="s">
        <v>52</v>
      </c>
      <c r="C49" s="63">
        <v>205</v>
      </c>
      <c r="D49" s="64">
        <v>1069605000</v>
      </c>
      <c r="E49" s="65">
        <f t="shared" si="0"/>
        <v>201869396.9991507</v>
      </c>
    </row>
    <row r="50" spans="2:6" ht="12.75">
      <c r="B50" s="60" t="s">
        <v>80</v>
      </c>
      <c r="C50" s="61">
        <f>SUM(C5:C49)</f>
        <v>13964</v>
      </c>
      <c r="D50" s="67">
        <f>SUM(D5:D49)</f>
        <v>96983729196.8</v>
      </c>
      <c r="E50" s="67">
        <f>SUM(E5:E49)</f>
        <v>18303997206.15268</v>
      </c>
      <c r="F50" s="36"/>
    </row>
    <row r="51" spans="2:5" ht="12.75">
      <c r="B51" s="194" t="s">
        <v>154</v>
      </c>
      <c r="C51" s="194"/>
      <c r="D51" s="194"/>
      <c r="E51" s="194"/>
    </row>
    <row r="52" spans="2:5" ht="7.5" customHeight="1">
      <c r="B52" s="52"/>
      <c r="C52" s="52"/>
      <c r="D52" s="52"/>
      <c r="E52" s="52"/>
    </row>
    <row r="53" spans="2:5" ht="17.25" customHeight="1">
      <c r="B53" s="195" t="s">
        <v>192</v>
      </c>
      <c r="C53" s="196"/>
      <c r="D53" s="196"/>
      <c r="E53" s="197"/>
    </row>
    <row r="54" ht="12.75">
      <c r="C54" s="19"/>
    </row>
    <row r="56" spans="3:4" ht="12.75">
      <c r="C56" s="31"/>
      <c r="D56" s="14"/>
    </row>
    <row r="57" spans="2:5" ht="12.75">
      <c r="B57" s="31"/>
      <c r="C57" s="31"/>
      <c r="D57" s="22"/>
      <c r="E57" s="19"/>
    </row>
    <row r="59" ht="12.75">
      <c r="B59" s="19"/>
    </row>
    <row r="60" spans="4:5" ht="12.75">
      <c r="D60" s="19"/>
      <c r="E60" s="19"/>
    </row>
    <row r="62" ht="12.75">
      <c r="E62" s="19"/>
    </row>
  </sheetData>
  <sheetProtection/>
  <mergeCells count="4">
    <mergeCell ref="B2:E2"/>
    <mergeCell ref="B3:E3"/>
    <mergeCell ref="B51:E51"/>
    <mergeCell ref="B53:E53"/>
  </mergeCells>
  <printOptions horizontalCentered="1" verticalCentered="1"/>
  <pageMargins left="0.7480314960629921" right="0.7480314960629921" top="0.984251968503937" bottom="0.984251968503937" header="0" footer="0"/>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B2:E24"/>
  <sheetViews>
    <sheetView showGridLines="0" zoomScalePageLayoutView="0" workbookViewId="0" topLeftCell="A1">
      <selection activeCell="B19" sqref="B19:E19"/>
    </sheetView>
  </sheetViews>
  <sheetFormatPr defaultColWidth="11.421875" defaultRowHeight="12.75"/>
  <cols>
    <col min="2" max="2" width="21.421875" style="0" customWidth="1"/>
    <col min="3" max="3" width="13.7109375" style="0" customWidth="1"/>
    <col min="4" max="4" width="21.8515625" style="0" customWidth="1"/>
    <col min="5" max="5" width="18.8515625" style="0" customWidth="1"/>
  </cols>
  <sheetData>
    <row r="2" spans="2:5" ht="41.25" customHeight="1">
      <c r="B2" s="185" t="s">
        <v>177</v>
      </c>
      <c r="C2" s="185"/>
      <c r="D2" s="185"/>
      <c r="E2" s="185"/>
    </row>
    <row r="3" spans="2:5" ht="3" customHeight="1">
      <c r="B3" s="186" t="s">
        <v>134</v>
      </c>
      <c r="C3" s="186"/>
      <c r="D3" s="186"/>
      <c r="E3" s="186"/>
    </row>
    <row r="4" spans="2:5" ht="39.75" customHeight="1">
      <c r="B4" s="49" t="s">
        <v>0</v>
      </c>
      <c r="C4" s="49" t="s">
        <v>1</v>
      </c>
      <c r="D4" s="49" t="s">
        <v>92</v>
      </c>
      <c r="E4" s="49" t="s">
        <v>143</v>
      </c>
    </row>
    <row r="5" spans="2:5" ht="12.75">
      <c r="B5" s="52" t="s">
        <v>2</v>
      </c>
      <c r="C5" s="63">
        <v>485</v>
      </c>
      <c r="D5" s="64">
        <v>4325766021</v>
      </c>
      <c r="E5" s="53">
        <f>+(D5/529.85)*100</f>
        <v>816413328.489195</v>
      </c>
    </row>
    <row r="6" spans="2:5" ht="12.75">
      <c r="B6" s="52" t="s">
        <v>3</v>
      </c>
      <c r="C6" s="63">
        <v>839</v>
      </c>
      <c r="D6" s="64">
        <v>5555996471</v>
      </c>
      <c r="E6" s="53">
        <f aca="true" t="shared" si="0" ref="E6:E15">+(D6/529.85)*100</f>
        <v>1048597993.9605548</v>
      </c>
    </row>
    <row r="7" spans="2:5" ht="12.75">
      <c r="B7" s="52" t="s">
        <v>4</v>
      </c>
      <c r="C7" s="56">
        <v>737</v>
      </c>
      <c r="D7" s="64">
        <v>6678278026</v>
      </c>
      <c r="E7" s="53">
        <f t="shared" si="0"/>
        <v>1260409177.3143342</v>
      </c>
    </row>
    <row r="8" spans="2:5" ht="12.75">
      <c r="B8" s="52" t="s">
        <v>5</v>
      </c>
      <c r="C8" s="63">
        <v>198</v>
      </c>
      <c r="D8" s="64">
        <v>1155600882</v>
      </c>
      <c r="E8" s="53">
        <f t="shared" si="0"/>
        <v>218099628.57412472</v>
      </c>
    </row>
    <row r="9" spans="2:5" ht="12.75">
      <c r="B9" s="52" t="s">
        <v>6</v>
      </c>
      <c r="C9" s="63">
        <v>263</v>
      </c>
      <c r="D9" s="64">
        <v>1444876360</v>
      </c>
      <c r="E9" s="53">
        <f t="shared" si="0"/>
        <v>272695359.063886</v>
      </c>
    </row>
    <row r="10" spans="2:5" ht="12.75">
      <c r="B10" s="52" t="s">
        <v>7</v>
      </c>
      <c r="C10" s="63">
        <v>299</v>
      </c>
      <c r="D10" s="64">
        <v>2175724022</v>
      </c>
      <c r="E10" s="53">
        <f t="shared" si="0"/>
        <v>410630182.5044824</v>
      </c>
    </row>
    <row r="11" spans="2:5" ht="12.75">
      <c r="B11" s="52" t="s">
        <v>8</v>
      </c>
      <c r="C11" s="63">
        <v>352</v>
      </c>
      <c r="D11" s="64">
        <v>2785085820</v>
      </c>
      <c r="E11" s="53">
        <f t="shared" si="0"/>
        <v>525636655.65726143</v>
      </c>
    </row>
    <row r="12" spans="2:5" ht="12.75">
      <c r="B12" s="52" t="s">
        <v>9</v>
      </c>
      <c r="C12" s="63">
        <v>166</v>
      </c>
      <c r="D12" s="64">
        <v>935246476</v>
      </c>
      <c r="E12" s="53">
        <f t="shared" si="0"/>
        <v>176511555.3458526</v>
      </c>
    </row>
    <row r="13" spans="2:5" ht="12.75">
      <c r="B13" s="52" t="s">
        <v>10</v>
      </c>
      <c r="C13" s="63">
        <v>141</v>
      </c>
      <c r="D13" s="64">
        <v>914563360</v>
      </c>
      <c r="E13" s="53">
        <f t="shared" si="0"/>
        <v>172607975.8422195</v>
      </c>
    </row>
    <row r="14" spans="2:5" ht="12.75">
      <c r="B14" s="52" t="s">
        <v>11</v>
      </c>
      <c r="C14" s="63">
        <v>402</v>
      </c>
      <c r="D14" s="64">
        <v>2878447215</v>
      </c>
      <c r="E14" s="53">
        <f t="shared" si="0"/>
        <v>543257000.0943663</v>
      </c>
    </row>
    <row r="15" spans="2:5" ht="12.75">
      <c r="B15" s="52" t="s">
        <v>12</v>
      </c>
      <c r="C15" s="63">
        <v>85</v>
      </c>
      <c r="D15" s="64">
        <v>486530000</v>
      </c>
      <c r="E15" s="53">
        <f t="shared" si="0"/>
        <v>91824101.16070586</v>
      </c>
    </row>
    <row r="16" spans="2:5" ht="12.75">
      <c r="B16" s="60" t="s">
        <v>80</v>
      </c>
      <c r="C16" s="61">
        <f>SUM(C5:C15)</f>
        <v>3967</v>
      </c>
      <c r="D16" s="67">
        <f>SUM(D5:D15)</f>
        <v>29336114653</v>
      </c>
      <c r="E16" s="67">
        <f>SUM(E5:E15)</f>
        <v>5536682958.006983</v>
      </c>
    </row>
    <row r="17" spans="2:5" ht="12.75">
      <c r="B17" s="187" t="s">
        <v>154</v>
      </c>
      <c r="C17" s="187"/>
      <c r="D17" s="187"/>
      <c r="E17" s="187"/>
    </row>
    <row r="18" spans="2:5" ht="8.25" customHeight="1">
      <c r="B18" s="52"/>
      <c r="C18" s="52"/>
      <c r="D18" s="52"/>
      <c r="E18" s="52"/>
    </row>
    <row r="19" spans="2:5" ht="17.25" customHeight="1">
      <c r="B19" s="198" t="s">
        <v>193</v>
      </c>
      <c r="C19" s="199"/>
      <c r="D19" s="199"/>
      <c r="E19" s="200"/>
    </row>
    <row r="22" ht="12.75">
      <c r="C22" s="31"/>
    </row>
    <row r="24" ht="12.75">
      <c r="D24" s="161"/>
    </row>
  </sheetData>
  <sheetProtection/>
  <mergeCells count="4">
    <mergeCell ref="B2:E2"/>
    <mergeCell ref="B3:E3"/>
    <mergeCell ref="B17:E17"/>
    <mergeCell ref="B19:E19"/>
  </mergeCells>
  <printOptions horizontalCentered="1" verticalCentered="1"/>
  <pageMargins left="0.7480314960629921" right="0.7480314960629921" top="0.984251968503937" bottom="0.984251968503937"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G19"/>
  <sheetViews>
    <sheetView showGridLines="0" zoomScalePageLayoutView="0" workbookViewId="0" topLeftCell="A1">
      <selection activeCell="B16" sqref="B16:E16"/>
    </sheetView>
  </sheetViews>
  <sheetFormatPr defaultColWidth="11.421875" defaultRowHeight="12.75"/>
  <cols>
    <col min="2" max="2" width="18.140625" style="0" bestFit="1" customWidth="1"/>
    <col min="3" max="3" width="11.421875" style="0" customWidth="1"/>
    <col min="4" max="4" width="20.8515625" style="0" customWidth="1"/>
    <col min="5" max="5" width="21.28125" style="0" customWidth="1"/>
  </cols>
  <sheetData>
    <row r="2" spans="2:5" ht="39.75" customHeight="1">
      <c r="B2" s="185" t="s">
        <v>178</v>
      </c>
      <c r="C2" s="185"/>
      <c r="D2" s="185"/>
      <c r="E2" s="185"/>
    </row>
    <row r="3" spans="2:5" ht="3" customHeight="1">
      <c r="B3" s="186"/>
      <c r="C3" s="186"/>
      <c r="D3" s="186"/>
      <c r="E3" s="186"/>
    </row>
    <row r="4" spans="2:5" ht="39.75" customHeight="1">
      <c r="B4" s="49" t="s">
        <v>0</v>
      </c>
      <c r="C4" s="49" t="s">
        <v>1</v>
      </c>
      <c r="D4" s="49" t="s">
        <v>123</v>
      </c>
      <c r="E4" s="49" t="s">
        <v>143</v>
      </c>
    </row>
    <row r="5" spans="2:5" ht="12.75">
      <c r="B5" s="52" t="s">
        <v>33</v>
      </c>
      <c r="C5" s="56">
        <v>74</v>
      </c>
      <c r="D5" s="64">
        <v>410543786</v>
      </c>
      <c r="E5" s="53">
        <f>+(D5/529.85)*100</f>
        <v>77483020.85495895</v>
      </c>
    </row>
    <row r="6" spans="2:5" ht="12.75">
      <c r="B6" s="52" t="s">
        <v>38</v>
      </c>
      <c r="C6" s="56">
        <v>262</v>
      </c>
      <c r="D6" s="64">
        <v>1497921407</v>
      </c>
      <c r="E6" s="53">
        <f aca="true" t="shared" si="0" ref="E6:E12">+(D6/529.85)*100</f>
        <v>282706691.8939322</v>
      </c>
    </row>
    <row r="7" spans="2:5" ht="12.75">
      <c r="B7" s="52" t="s">
        <v>62</v>
      </c>
      <c r="C7" s="56">
        <v>1230</v>
      </c>
      <c r="D7" s="64">
        <v>10708891079</v>
      </c>
      <c r="E7" s="53">
        <f t="shared" si="0"/>
        <v>2021117500.9908464</v>
      </c>
    </row>
    <row r="8" spans="2:7" ht="12.75">
      <c r="B8" s="52" t="s">
        <v>63</v>
      </c>
      <c r="C8" s="56">
        <v>273</v>
      </c>
      <c r="D8" s="64">
        <v>2292221631</v>
      </c>
      <c r="E8" s="53">
        <f t="shared" si="0"/>
        <v>432617086.15645933</v>
      </c>
      <c r="G8" s="35"/>
    </row>
    <row r="9" spans="2:5" ht="12.75">
      <c r="B9" s="52" t="s">
        <v>65</v>
      </c>
      <c r="C9" s="56">
        <v>96</v>
      </c>
      <c r="D9" s="64">
        <v>535225025</v>
      </c>
      <c r="E9" s="53">
        <f t="shared" si="0"/>
        <v>101014442.76682079</v>
      </c>
    </row>
    <row r="10" spans="2:5" ht="12.75">
      <c r="B10" s="52" t="s">
        <v>67</v>
      </c>
      <c r="C10" s="56">
        <v>66</v>
      </c>
      <c r="D10" s="64">
        <v>375631000</v>
      </c>
      <c r="E10" s="53">
        <f t="shared" si="0"/>
        <v>70893837.8786449</v>
      </c>
    </row>
    <row r="11" spans="2:5" ht="12.75">
      <c r="B11" s="52" t="s">
        <v>70</v>
      </c>
      <c r="C11" s="56">
        <v>302</v>
      </c>
      <c r="D11" s="64">
        <v>3031787013</v>
      </c>
      <c r="E11" s="53">
        <f t="shared" si="0"/>
        <v>572197228.0834198</v>
      </c>
    </row>
    <row r="12" spans="2:5" ht="12.75">
      <c r="B12" s="52" t="s">
        <v>72</v>
      </c>
      <c r="C12" s="56">
        <v>28</v>
      </c>
      <c r="D12" s="64">
        <v>160829000</v>
      </c>
      <c r="E12" s="53">
        <f t="shared" si="0"/>
        <v>30353685.00519015</v>
      </c>
    </row>
    <row r="13" spans="2:5" ht="12.75">
      <c r="B13" s="60" t="s">
        <v>80</v>
      </c>
      <c r="C13" s="61">
        <f>SUM(C5:C12)</f>
        <v>2331</v>
      </c>
      <c r="D13" s="67">
        <f>SUM(D5:D12)</f>
        <v>19013049941</v>
      </c>
      <c r="E13" s="67">
        <f>SUM(E5:E12)</f>
        <v>3588383493.630273</v>
      </c>
    </row>
    <row r="14" spans="2:5" ht="12.75">
      <c r="B14" s="187" t="s">
        <v>154</v>
      </c>
      <c r="C14" s="187"/>
      <c r="D14" s="187"/>
      <c r="E14" s="187"/>
    </row>
    <row r="15" spans="2:5" ht="9" customHeight="1">
      <c r="B15" s="52"/>
      <c r="C15" s="52"/>
      <c r="D15" s="52"/>
      <c r="E15" s="52"/>
    </row>
    <row r="16" spans="2:5" ht="17.25" customHeight="1">
      <c r="B16" s="198" t="s">
        <v>194</v>
      </c>
      <c r="C16" s="199"/>
      <c r="D16" s="199"/>
      <c r="E16" s="200"/>
    </row>
    <row r="18" ht="12.75">
      <c r="D18" s="31"/>
    </row>
    <row r="19" ht="12.75">
      <c r="D19" s="31"/>
    </row>
  </sheetData>
  <sheetProtection/>
  <mergeCells count="4">
    <mergeCell ref="B2:E2"/>
    <mergeCell ref="B3:E3"/>
    <mergeCell ref="B14:E14"/>
    <mergeCell ref="B16:E16"/>
  </mergeCells>
  <printOptions horizontalCentered="1" verticalCentered="1"/>
  <pageMargins left="0.7480314960629921" right="0.7480314960629921" top="0.984251968503937" bottom="0.984251968503937"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2:E17"/>
  <sheetViews>
    <sheetView showGridLines="0" zoomScalePageLayoutView="0" workbookViewId="0" topLeftCell="A1">
      <selection activeCell="B14" sqref="B14:E14"/>
    </sheetView>
  </sheetViews>
  <sheetFormatPr defaultColWidth="11.421875" defaultRowHeight="12.75"/>
  <cols>
    <col min="2" max="2" width="18.140625" style="0" bestFit="1" customWidth="1"/>
    <col min="3" max="3" width="10.28125" style="0" bestFit="1" customWidth="1"/>
    <col min="4" max="4" width="18.28125" style="0" bestFit="1" customWidth="1"/>
    <col min="5" max="5" width="18.140625" style="0" customWidth="1"/>
  </cols>
  <sheetData>
    <row r="2" spans="2:5" ht="45.75" customHeight="1">
      <c r="B2" s="185" t="s">
        <v>179</v>
      </c>
      <c r="C2" s="185"/>
      <c r="D2" s="185"/>
      <c r="E2" s="185"/>
    </row>
    <row r="3" spans="2:5" ht="3" customHeight="1">
      <c r="B3" s="186"/>
      <c r="C3" s="186"/>
      <c r="D3" s="186"/>
      <c r="E3" s="186"/>
    </row>
    <row r="4" spans="2:5" ht="39.75" customHeight="1">
      <c r="B4" s="49" t="s">
        <v>0</v>
      </c>
      <c r="C4" s="49" t="s">
        <v>1</v>
      </c>
      <c r="D4" s="49" t="s">
        <v>123</v>
      </c>
      <c r="E4" s="49" t="s">
        <v>143</v>
      </c>
    </row>
    <row r="5" spans="2:5" ht="12.75">
      <c r="B5" s="52" t="s">
        <v>64</v>
      </c>
      <c r="C5" s="56">
        <v>1441</v>
      </c>
      <c r="D5" s="64">
        <v>8874618880</v>
      </c>
      <c r="E5" s="53">
        <f aca="true" t="shared" si="0" ref="E5:E10">+(D5/529.85)*100</f>
        <v>1674930429.366802</v>
      </c>
    </row>
    <row r="6" spans="2:5" ht="12.75">
      <c r="B6" s="52" t="s">
        <v>66</v>
      </c>
      <c r="C6" s="56">
        <v>360</v>
      </c>
      <c r="D6" s="64">
        <v>2232781643</v>
      </c>
      <c r="E6" s="53">
        <f t="shared" si="0"/>
        <v>421398819.09974515</v>
      </c>
    </row>
    <row r="7" spans="2:5" ht="12.75">
      <c r="B7" s="52" t="s">
        <v>68</v>
      </c>
      <c r="C7" s="56">
        <v>643</v>
      </c>
      <c r="D7" s="64">
        <v>5179869764</v>
      </c>
      <c r="E7" s="53">
        <f t="shared" si="0"/>
        <v>977610599.9811268</v>
      </c>
    </row>
    <row r="8" spans="2:5" ht="12.75">
      <c r="B8" s="52" t="s">
        <v>71</v>
      </c>
      <c r="C8" s="56">
        <v>639</v>
      </c>
      <c r="D8" s="64">
        <v>4532485046</v>
      </c>
      <c r="E8" s="53">
        <f t="shared" si="0"/>
        <v>855427959.9886761</v>
      </c>
    </row>
    <row r="9" spans="2:5" ht="12.75">
      <c r="B9" s="52" t="s">
        <v>69</v>
      </c>
      <c r="C9" s="56">
        <v>1052</v>
      </c>
      <c r="D9" s="64">
        <v>6051729954</v>
      </c>
      <c r="E9" s="53">
        <f t="shared" si="0"/>
        <v>1142159092.950835</v>
      </c>
    </row>
    <row r="10" spans="2:5" ht="12.75">
      <c r="B10" s="52" t="s">
        <v>31</v>
      </c>
      <c r="C10" s="56">
        <v>2700</v>
      </c>
      <c r="D10" s="64">
        <v>16029163818</v>
      </c>
      <c r="E10" s="53">
        <f t="shared" si="0"/>
        <v>3025226727.94187</v>
      </c>
    </row>
    <row r="11" spans="2:5" ht="12.75">
      <c r="B11" s="60" t="s">
        <v>80</v>
      </c>
      <c r="C11" s="61">
        <f>SUM(C5:C10)</f>
        <v>6835</v>
      </c>
      <c r="D11" s="67">
        <f>SUM(D5:D10)</f>
        <v>42900649105</v>
      </c>
      <c r="E11" s="67">
        <f>SUM(E5:E10)</f>
        <v>8096753629.329056</v>
      </c>
    </row>
    <row r="12" spans="2:5" ht="12.75">
      <c r="B12" s="187" t="s">
        <v>154</v>
      </c>
      <c r="C12" s="187"/>
      <c r="D12" s="187"/>
      <c r="E12" s="187"/>
    </row>
    <row r="13" spans="2:5" ht="9.75" customHeight="1">
      <c r="B13" s="52"/>
      <c r="C13" s="52"/>
      <c r="D13" s="52"/>
      <c r="E13" s="52"/>
    </row>
    <row r="14" spans="2:5" ht="19.5" customHeight="1">
      <c r="B14" s="191" t="s">
        <v>195</v>
      </c>
      <c r="C14" s="192"/>
      <c r="D14" s="192"/>
      <c r="E14" s="193"/>
    </row>
    <row r="17" spans="3:4" ht="12.75">
      <c r="C17" s="31"/>
      <c r="D17" s="31"/>
    </row>
  </sheetData>
  <sheetProtection/>
  <mergeCells count="4">
    <mergeCell ref="B2:E2"/>
    <mergeCell ref="B3:E3"/>
    <mergeCell ref="B12:E12"/>
    <mergeCell ref="B14:E14"/>
  </mergeCells>
  <printOptions horizontalCentered="1" verticalCentered="1"/>
  <pageMargins left="0.7480314960629921" right="0.7480314960629921" top="0.984251968503937" bottom="0.984251968503937" header="0" footer="0"/>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2:H17"/>
  <sheetViews>
    <sheetView showGridLines="0" zoomScalePageLayoutView="0" workbookViewId="0" topLeftCell="A1">
      <selection activeCell="B15" sqref="B15:E15"/>
    </sheetView>
  </sheetViews>
  <sheetFormatPr defaultColWidth="11.421875" defaultRowHeight="12.75"/>
  <cols>
    <col min="2" max="2" width="19.28125" style="0" customWidth="1"/>
    <col min="3" max="3" width="10.00390625" style="0" customWidth="1"/>
    <col min="4" max="4" width="18.57421875" style="0" customWidth="1"/>
    <col min="5" max="5" width="18.140625" style="0" customWidth="1"/>
  </cols>
  <sheetData>
    <row r="2" spans="2:5" ht="44.25" customHeight="1">
      <c r="B2" s="185" t="s">
        <v>180</v>
      </c>
      <c r="C2" s="185"/>
      <c r="D2" s="185"/>
      <c r="E2" s="185"/>
    </row>
    <row r="3" spans="2:5" ht="3" customHeight="1">
      <c r="B3" s="186"/>
      <c r="C3" s="186"/>
      <c r="D3" s="186"/>
      <c r="E3" s="186"/>
    </row>
    <row r="4" spans="2:5" ht="39.75" customHeight="1">
      <c r="B4" s="49" t="s">
        <v>0</v>
      </c>
      <c r="C4" s="49" t="s">
        <v>1</v>
      </c>
      <c r="D4" s="49" t="s">
        <v>123</v>
      </c>
      <c r="E4" s="49" t="s">
        <v>143</v>
      </c>
    </row>
    <row r="5" spans="2:5" ht="12.75">
      <c r="B5" s="73" t="s">
        <v>163</v>
      </c>
      <c r="C5" s="84">
        <v>639</v>
      </c>
      <c r="D5" s="64">
        <v>3692911158.93</v>
      </c>
      <c r="E5" s="53">
        <f>+(D5/529.85)*100</f>
        <v>696972946.8585448</v>
      </c>
    </row>
    <row r="6" spans="2:5" ht="12.75">
      <c r="B6" s="52" t="s">
        <v>73</v>
      </c>
      <c r="C6" s="56">
        <v>805</v>
      </c>
      <c r="D6" s="64">
        <v>5531434372</v>
      </c>
      <c r="E6" s="53">
        <f aca="true" t="shared" si="0" ref="E6:E11">+(D6/529.85)*100</f>
        <v>1043962323.6765122</v>
      </c>
    </row>
    <row r="7" spans="2:5" ht="12.75">
      <c r="B7" s="52" t="s">
        <v>74</v>
      </c>
      <c r="C7" s="56">
        <v>3577</v>
      </c>
      <c r="D7" s="64">
        <v>25003679752</v>
      </c>
      <c r="E7" s="53">
        <f t="shared" si="0"/>
        <v>4719010994.054921</v>
      </c>
    </row>
    <row r="8" spans="2:5" ht="12.75">
      <c r="B8" s="52" t="s">
        <v>75</v>
      </c>
      <c r="C8" s="56">
        <v>633</v>
      </c>
      <c r="D8" s="64">
        <v>4145867218</v>
      </c>
      <c r="E8" s="53">
        <f t="shared" si="0"/>
        <v>782460548.8345758</v>
      </c>
    </row>
    <row r="9" spans="2:5" ht="12.75">
      <c r="B9" s="52" t="s">
        <v>76</v>
      </c>
      <c r="C9" s="56">
        <v>1159</v>
      </c>
      <c r="D9" s="64">
        <v>8799782798</v>
      </c>
      <c r="E9" s="53">
        <f t="shared" si="0"/>
        <v>1660806416.532981</v>
      </c>
    </row>
    <row r="10" spans="2:5" ht="12.75">
      <c r="B10" s="52" t="s">
        <v>77</v>
      </c>
      <c r="C10" s="56">
        <v>508</v>
      </c>
      <c r="D10" s="64">
        <v>3864347106</v>
      </c>
      <c r="E10" s="53">
        <f t="shared" si="0"/>
        <v>729328509.2007171</v>
      </c>
    </row>
    <row r="11" spans="2:5" ht="12.75">
      <c r="B11" s="52" t="s">
        <v>78</v>
      </c>
      <c r="C11" s="56">
        <v>1507</v>
      </c>
      <c r="D11" s="64">
        <v>11804948358</v>
      </c>
      <c r="E11" s="53">
        <f t="shared" si="0"/>
        <v>2227979306.9736714</v>
      </c>
    </row>
    <row r="12" spans="2:5" ht="12.75">
      <c r="B12" s="60" t="s">
        <v>80</v>
      </c>
      <c r="C12" s="61">
        <f>SUM(C5:C11)</f>
        <v>8828</v>
      </c>
      <c r="D12" s="67">
        <f>SUM(D5:D11)</f>
        <v>62842970762.93</v>
      </c>
      <c r="E12" s="68">
        <f>SUM(E5:E11)</f>
        <v>11860521046.131924</v>
      </c>
    </row>
    <row r="13" spans="2:5" ht="12.75">
      <c r="B13" s="187" t="s">
        <v>154</v>
      </c>
      <c r="C13" s="187"/>
      <c r="D13" s="187"/>
      <c r="E13" s="187"/>
    </row>
    <row r="14" spans="2:8" ht="10.5" customHeight="1">
      <c r="B14" s="52"/>
      <c r="C14" s="52"/>
      <c r="D14" s="52"/>
      <c r="E14" s="52"/>
      <c r="H14" s="31"/>
    </row>
    <row r="15" spans="2:5" ht="18" customHeight="1">
      <c r="B15" s="195" t="s">
        <v>196</v>
      </c>
      <c r="C15" s="196"/>
      <c r="D15" s="196"/>
      <c r="E15" s="197"/>
    </row>
    <row r="17" ht="12.75">
      <c r="C17" s="31"/>
    </row>
  </sheetData>
  <sheetProtection/>
  <mergeCells count="4">
    <mergeCell ref="B2:E2"/>
    <mergeCell ref="B3:E3"/>
    <mergeCell ref="B13:E13"/>
    <mergeCell ref="B15:E15"/>
  </mergeCells>
  <printOptions horizontalCentered="1" verticalCentered="1"/>
  <pageMargins left="0.7480314960629921" right="0.7480314960629921" top="0.984251968503937" bottom="0.984251968503937" header="0" footer="0"/>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B2:G21"/>
  <sheetViews>
    <sheetView showGridLines="0" zoomScalePageLayoutView="0" workbookViewId="0" topLeftCell="A1">
      <selection activeCell="B16" sqref="B16:E16"/>
    </sheetView>
  </sheetViews>
  <sheetFormatPr defaultColWidth="11.421875" defaultRowHeight="12.75"/>
  <cols>
    <col min="2" max="2" width="38.7109375" style="0" bestFit="1" customWidth="1"/>
    <col min="3" max="3" width="10.28125" style="0" bestFit="1" customWidth="1"/>
    <col min="4" max="4" width="18.28125" style="0" bestFit="1" customWidth="1"/>
    <col min="5" max="5" width="18.140625" style="0" customWidth="1"/>
  </cols>
  <sheetData>
    <row r="2" spans="2:5" ht="37.5" customHeight="1">
      <c r="B2" s="185" t="s">
        <v>181</v>
      </c>
      <c r="C2" s="185"/>
      <c r="D2" s="185"/>
      <c r="E2" s="185"/>
    </row>
    <row r="3" spans="2:5" ht="3" customHeight="1">
      <c r="B3" s="186"/>
      <c r="C3" s="186"/>
      <c r="D3" s="186"/>
      <c r="E3" s="186"/>
    </row>
    <row r="4" spans="2:5" ht="39.75" customHeight="1">
      <c r="B4" s="49" t="s">
        <v>0</v>
      </c>
      <c r="C4" s="49" t="s">
        <v>1</v>
      </c>
      <c r="D4" s="49" t="s">
        <v>123</v>
      </c>
      <c r="E4" s="49" t="s">
        <v>143</v>
      </c>
    </row>
    <row r="5" spans="2:5" ht="12.75">
      <c r="B5" s="52" t="s">
        <v>39</v>
      </c>
      <c r="C5" s="56">
        <v>2089</v>
      </c>
      <c r="D5" s="64">
        <v>13239064667</v>
      </c>
      <c r="E5" s="53">
        <f>+(D5/529.85)*100</f>
        <v>2498643892.9885817</v>
      </c>
    </row>
    <row r="6" spans="2:5" ht="12.75">
      <c r="B6" s="52" t="s">
        <v>44</v>
      </c>
      <c r="C6" s="56">
        <v>470</v>
      </c>
      <c r="D6" s="64">
        <v>3878703508</v>
      </c>
      <c r="E6" s="53">
        <f aca="true" t="shared" si="0" ref="E6:E12">+(D6/529.85)*100</f>
        <v>732038031.1408888</v>
      </c>
    </row>
    <row r="7" spans="2:5" ht="12.75">
      <c r="B7" s="52" t="s">
        <v>43</v>
      </c>
      <c r="C7" s="56">
        <v>450</v>
      </c>
      <c r="D7" s="64">
        <v>3408862311</v>
      </c>
      <c r="E7" s="53">
        <f t="shared" si="0"/>
        <v>643363652.1657073</v>
      </c>
    </row>
    <row r="8" spans="2:5" ht="12.75">
      <c r="B8" s="52" t="s">
        <v>42</v>
      </c>
      <c r="C8" s="56">
        <v>917</v>
      </c>
      <c r="D8" s="64">
        <v>5648581945</v>
      </c>
      <c r="E8" s="53">
        <f t="shared" si="0"/>
        <v>1066071896.7632347</v>
      </c>
    </row>
    <row r="9" spans="2:5" ht="12.75">
      <c r="B9" s="52" t="s">
        <v>81</v>
      </c>
      <c r="C9" s="56">
        <v>42</v>
      </c>
      <c r="D9" s="64">
        <v>243625973.74</v>
      </c>
      <c r="E9" s="53">
        <f t="shared" si="0"/>
        <v>45980178.11456072</v>
      </c>
    </row>
    <row r="10" spans="2:5" ht="12.75">
      <c r="B10" s="52" t="s">
        <v>82</v>
      </c>
      <c r="C10" s="56">
        <v>101</v>
      </c>
      <c r="D10" s="64">
        <v>544120115.59</v>
      </c>
      <c r="E10" s="53">
        <f t="shared" si="0"/>
        <v>102693236.87647447</v>
      </c>
    </row>
    <row r="11" spans="2:5" ht="12.75">
      <c r="B11" s="52" t="s">
        <v>83</v>
      </c>
      <c r="C11" s="56">
        <v>103</v>
      </c>
      <c r="D11" s="64">
        <v>593710546.87</v>
      </c>
      <c r="E11" s="53">
        <f t="shared" si="0"/>
        <v>112052570.89176182</v>
      </c>
    </row>
    <row r="12" spans="2:5" ht="12.75">
      <c r="B12" s="52" t="s">
        <v>162</v>
      </c>
      <c r="C12" s="56">
        <f>1015-639</f>
        <v>376</v>
      </c>
      <c r="D12" s="64">
        <f>6519189915-3692911158.93</f>
        <v>2826278756.07</v>
      </c>
      <c r="E12" s="53">
        <f t="shared" si="0"/>
        <v>533411108.0626593</v>
      </c>
    </row>
    <row r="13" spans="2:7" ht="12.75">
      <c r="B13" s="60" t="s">
        <v>80</v>
      </c>
      <c r="C13" s="61">
        <f>SUM(C5:C12)</f>
        <v>4548</v>
      </c>
      <c r="D13" s="67">
        <f>SUM(D5:D12)</f>
        <v>30382947823.27</v>
      </c>
      <c r="E13" s="68">
        <f>SUM(E5:E12)</f>
        <v>5734254567.003869</v>
      </c>
      <c r="G13" s="31"/>
    </row>
    <row r="14" spans="2:5" ht="12.75">
      <c r="B14" s="194" t="s">
        <v>154</v>
      </c>
      <c r="C14" s="194"/>
      <c r="D14" s="194"/>
      <c r="E14" s="194"/>
    </row>
    <row r="15" spans="2:5" ht="9" customHeight="1">
      <c r="B15" s="52"/>
      <c r="C15" s="52"/>
      <c r="D15" s="52"/>
      <c r="E15" s="52"/>
    </row>
    <row r="16" spans="2:5" ht="17.25" customHeight="1">
      <c r="B16" s="195" t="s">
        <v>197</v>
      </c>
      <c r="C16" s="196"/>
      <c r="D16" s="196"/>
      <c r="E16" s="197"/>
    </row>
    <row r="17" ht="12.75">
      <c r="C17" s="19"/>
    </row>
    <row r="19" spans="3:4" ht="12.75">
      <c r="C19" s="14"/>
      <c r="D19" s="15"/>
    </row>
    <row r="21" ht="12.75">
      <c r="D21" s="31"/>
    </row>
  </sheetData>
  <sheetProtection/>
  <mergeCells count="4">
    <mergeCell ref="B2:E2"/>
    <mergeCell ref="B3:E3"/>
    <mergeCell ref="B14:E14"/>
    <mergeCell ref="B16:E16"/>
  </mergeCells>
  <printOptions horizontalCentered="1" verticalCentered="1"/>
  <pageMargins left="0.7480314960629921" right="0.7480314960629921" top="0.984251968503937" bottom="0.984251968503937"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